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35" activeTab="1"/>
  </bookViews>
  <sheets>
    <sheet name="HUYEN KHEN GV" sheetId="1" r:id="rId1"/>
    <sheet name="HUYEN KHEN HS" sheetId="2" r:id="rId2"/>
    <sheet name="DV-IDENTITY-0" sheetId="3" state="veryHidden" r:id="rId3"/>
  </sheets>
  <definedNames>
    <definedName name="_xlfn.SINGLE" hidden="1">#NAME?</definedName>
  </definedNames>
  <calcPr fullCalcOnLoad="1"/>
</workbook>
</file>

<file path=xl/sharedStrings.xml><?xml version="1.0" encoding="utf-8"?>
<sst xmlns="http://schemas.openxmlformats.org/spreadsheetml/2006/main" count="1798" uniqueCount="836">
  <si>
    <t>TT</t>
  </si>
  <si>
    <t>AAAAAG+5txY=</t>
  </si>
  <si>
    <t>Trường</t>
  </si>
  <si>
    <t>Chức vụ</t>
  </si>
  <si>
    <t>Lớp</t>
  </si>
  <si>
    <t>Họ và tên</t>
  </si>
  <si>
    <t>Ông (bà)</t>
  </si>
  <si>
    <t>Ông</t>
  </si>
  <si>
    <t>Bà</t>
  </si>
  <si>
    <t>Giáo viên</t>
  </si>
  <si>
    <t>THCS Xuân Lương</t>
  </si>
  <si>
    <t>THCS Canh Nậu</t>
  </si>
  <si>
    <t>THCS Đồng Tiến</t>
  </si>
  <si>
    <t>THCS Đồng Vương</t>
  </si>
  <si>
    <t>THPT Yên Thế</t>
  </si>
  <si>
    <t>THPT Bố Hạ</t>
  </si>
  <si>
    <t>THPT Mỏ Trạng</t>
  </si>
  <si>
    <t>THCS Tam Tiến</t>
  </si>
  <si>
    <t>THCS Tiến Thắng</t>
  </si>
  <si>
    <t>THCS Tam Hiệp</t>
  </si>
  <si>
    <t>THCS An Thượng</t>
  </si>
  <si>
    <t>THCS Hoàng Hoa Thám</t>
  </si>
  <si>
    <t>THCS Hồng Kỳ</t>
  </si>
  <si>
    <t>THCS Đồng Kỳ</t>
  </si>
  <si>
    <t>THCS Đồng Lạc</t>
  </si>
  <si>
    <t>THCS Tân Sỏi</t>
  </si>
  <si>
    <t>THCS Đông Sơn</t>
  </si>
  <si>
    <t>THCS Hương Vĩ</t>
  </si>
  <si>
    <t>THCS Đồng Hưu</t>
  </si>
  <si>
    <t>TH&amp;THCS Đồng Tâm</t>
  </si>
  <si>
    <t>TH&amp;THCS Tân Hiệp</t>
  </si>
  <si>
    <t>TH Xuân Lương</t>
  </si>
  <si>
    <t>TH Canh Nậu</t>
  </si>
  <si>
    <t>TH Đồng Tiến</t>
  </si>
  <si>
    <t>TH Tam Tiến</t>
  </si>
  <si>
    <t>TH Hồng Kỳ</t>
  </si>
  <si>
    <t>TH Đồng Kỳ</t>
  </si>
  <si>
    <t>Phạm Bích Liễu</t>
  </si>
  <si>
    <t>Giáp Thế Cường</t>
  </si>
  <si>
    <t>Trần Hải Yến</t>
  </si>
  <si>
    <t>Nguyễn Văn Chuyên</t>
  </si>
  <si>
    <t>Vũ Thị Quy</t>
  </si>
  <si>
    <t>Nguyễn Thị Hương</t>
  </si>
  <si>
    <t>Trương Thị Phú Thương</t>
  </si>
  <si>
    <t>Nông Văn Thành</t>
  </si>
  <si>
    <t>Trần Thị Thanh Hiền</t>
  </si>
  <si>
    <t>Đỗ Văn Tình</t>
  </si>
  <si>
    <t>Nguyễn Thị Tuyển</t>
  </si>
  <si>
    <t>Mai Thị Thu Hà</t>
  </si>
  <si>
    <t>Nguyễn Thị Yến Chi</t>
  </si>
  <si>
    <t>Lương Thị Mai</t>
  </si>
  <si>
    <t>Nguyễn Thị Tâm</t>
  </si>
  <si>
    <t>Nguyễn Thị Hồng Như</t>
  </si>
  <si>
    <t>Lê Ngọc Hà</t>
  </si>
  <si>
    <t>Phạm Thị Hằng</t>
  </si>
  <si>
    <t>Trần Ngọc Điển</t>
  </si>
  <si>
    <t>Nguyễn Ngọc Anh</t>
  </si>
  <si>
    <t>Lục Thị Chiêm</t>
  </si>
  <si>
    <t>Mông Hồng Kiều</t>
  </si>
  <si>
    <t>Trần Thị Kim Liên</t>
  </si>
  <si>
    <t>Nguyễn Văn Bách</t>
  </si>
  <si>
    <t>Nguyễn Thị Hoa</t>
  </si>
  <si>
    <t>Ninh Thị Thu Hà</t>
  </si>
  <si>
    <t>Nguyễn Hoàng Sơn</t>
  </si>
  <si>
    <t>Bùi Quang Tình</t>
  </si>
  <si>
    <t>Nguyễn Trọng Đào</t>
  </si>
  <si>
    <t>Phương Văn Bách</t>
  </si>
  <si>
    <t>Đào Văn Thiện</t>
  </si>
  <si>
    <t>Tổ trưởng chuyên môn</t>
  </si>
  <si>
    <t>Bồi dưỡng học sinh đoạt giải Ba và giải Khuyến khích môn Toán 12 cấp tỉnh năm học 2023-2024</t>
  </si>
  <si>
    <t>Bồi dưỡng học sinh đoạt giải Ba môn Toán 12 cấp tỉnh năm học 2023-2024</t>
  </si>
  <si>
    <t>Bồi dưỡng học sinh đoạt giải Nhì môn Hóa học 12 cấp tỉnh năm học 2023-2024</t>
  </si>
  <si>
    <t>Tổ phó chuyên môn</t>
  </si>
  <si>
    <t>Bồi dưỡng học sinh đoạt giải Ba môn Vật lí 12 cấp tỉnh năm học 2023-2024</t>
  </si>
  <si>
    <t>Bồi dưỡng học sinh đoạt giải Nhì môn Sinh học 12 cấp tỉnh năm học 2023-2024</t>
  </si>
  <si>
    <t>Bồi dưỡng học sinh đoạt giải giải Ba môn Ngữ văn 12 cấp tỉnh năm học 2023-2024</t>
  </si>
  <si>
    <t>Bồi dưỡng học sinh đoạt giải Nhì môn Lịch sử 12 cấp tỉnh năm học 2023-2024</t>
  </si>
  <si>
    <t>Bồi dưỡng học sinh đoạt giải Ba môn Lịch sử 12 cấp tỉnh năm học 2023-2024</t>
  </si>
  <si>
    <t>Bồi dưỡng học sinh đoạt giải Nhất môn Địa lí 12 cấp tỉnh năm học 2023-2024</t>
  </si>
  <si>
    <t>Bồi dưỡng học sinh đoạt giải Nhì môn Tiếng Anh 12 cấp tỉnh năm học 2023-2024</t>
  </si>
  <si>
    <t>Bồi dưỡng học sinh đoạt giải Ba môn Tiếng Anh 12 cấp tỉnh năm học 2023-2024</t>
  </si>
  <si>
    <t>Bồi dưỡng học sinh đoạt giải Nhì môn Giáo dục công dân 12 cấp tỉnh năm học 2023-2024</t>
  </si>
  <si>
    <t>Bồi dưỡng học sinh đoạt giải Khuyến khích môn Vật lí 12 cấp tỉnh năm học 2023-2024</t>
  </si>
  <si>
    <t>Bồi dưỡng học sinh đoạt giải Khuyến khích môn Ngữ văn 12 cấp tỉnh năm học 2023-2024</t>
  </si>
  <si>
    <t>Bồi dưỡng học sinh đoạt giải Khuyến khích môn Lịch sử 12 cấp tỉnh năm học 2023-2024</t>
  </si>
  <si>
    <t>Bồi dưỡng học sinh đoạt giải Khuyến khích môn Tiếng Anh 12 cấp tỉnh năm học 2023-2024</t>
  </si>
  <si>
    <t>Bồi dưỡng học sinh đoạt 2 giải Khuyến khích môn Giáo dục công dân 12 cấp tỉnh năm học 2023-2024</t>
  </si>
  <si>
    <t>Bồi dưỡng học sinh đoạt giải Nhì và giải Ba môn Cầu lông cấp tỉnh năm học 2023-2024</t>
  </si>
  <si>
    <t>Bồi dưỡng học sinh đoạt giải Nhì và giải Ba môn Điền kinh cấp tỉnh năm học 2023-2024</t>
  </si>
  <si>
    <t>Bồi dưỡng học sinh đoạt giải Ba môn Tin học 11 cấp tỉnh năm học 2023-2024</t>
  </si>
  <si>
    <t>Bồi dưỡng học sinh đoạt giải Ba môn Cờ vua cấp tỉnh năm học 2023-2024</t>
  </si>
  <si>
    <t>Long Phương Thảo</t>
  </si>
  <si>
    <t>12A7</t>
  </si>
  <si>
    <t>Trương Ngọc Mai</t>
  </si>
  <si>
    <t>Nguyễn Hoàng Giang</t>
  </si>
  <si>
    <t>Bùi Diệp Chi</t>
  </si>
  <si>
    <t>12A6</t>
  </si>
  <si>
    <t>Trần Thị Quỳnh Anh</t>
  </si>
  <si>
    <t>Nguyễn Thùy Dương</t>
  </si>
  <si>
    <t>Hoàng Minh Ánh</t>
  </si>
  <si>
    <t>Trương Hồng Anh</t>
  </si>
  <si>
    <t>Đồng Nguyễn Thảo Việt</t>
  </si>
  <si>
    <t>Nguyễn Thị Hải Ninh</t>
  </si>
  <si>
    <t>Dương Thị Hòa</t>
  </si>
  <si>
    <t>Nguyễn Yến Nhi</t>
  </si>
  <si>
    <t>Phương Như Quỳnh</t>
  </si>
  <si>
    <t>12A8</t>
  </si>
  <si>
    <t>Ngô Thị Tuyến</t>
  </si>
  <si>
    <t>Nguyễn Mạnh Cường</t>
  </si>
  <si>
    <t>Trương Đức Thành</t>
  </si>
  <si>
    <t>Phạm Thị Bình</t>
  </si>
  <si>
    <t>Phạm Thị Kim Oanh</t>
  </si>
  <si>
    <t>Lý Thị Phượng</t>
  </si>
  <si>
    <t>Đỗ Duy Thành</t>
  </si>
  <si>
    <t>Nông Trung Hiếu</t>
  </si>
  <si>
    <t>Hoàng Đặng Thái Bình</t>
  </si>
  <si>
    <t>Phạm Thị Khánh Vy</t>
  </si>
  <si>
    <t>Phạm Thu Trang</t>
  </si>
  <si>
    <t>Đoàn Triệu Khang</t>
  </si>
  <si>
    <t>Nguyễn Hồng Hạnh</t>
  </si>
  <si>
    <t>Đào Đức Minh</t>
  </si>
  <si>
    <t>11A8</t>
  </si>
  <si>
    <t>Nguyễn Tiến Đạt</t>
  </si>
  <si>
    <t>Nông Hồng Phúc</t>
  </si>
  <si>
    <t>Đào Thị Như Quỳnh</t>
  </si>
  <si>
    <t>11A2</t>
  </si>
  <si>
    <t>Bùi Đức Hoàn</t>
  </si>
  <si>
    <t>10A6</t>
  </si>
  <si>
    <t>Đào Thị Nguyệt</t>
  </si>
  <si>
    <t>Bùi Thanh Phong</t>
  </si>
  <si>
    <t>Đào Thị Ngọc Anh</t>
  </si>
  <si>
    <t>Nguyễn Đức Lợi</t>
  </si>
  <si>
    <t xml:space="preserve">Vũ Anh Tuấn </t>
  </si>
  <si>
    <t>10A9</t>
  </si>
  <si>
    <t>Dương Ngọc Minh Hiền</t>
  </si>
  <si>
    <t>Lưu Thị Mai Ly</t>
  </si>
  <si>
    <t>11A7</t>
  </si>
  <si>
    <t>Đoạt giải Ba môn Ngữ văn 12 cấp tỉnh năm học 2023-2024</t>
  </si>
  <si>
    <t>Đoạt giải Nhì môn Lịch sử 12 cấp tỉnh năm học 2023-2024</t>
  </si>
  <si>
    <t>Đoạt giải Ba môn Lịch sử 12 cấp tỉnh năm học 2023-2024</t>
  </si>
  <si>
    <t>Đoạt giải Nhất môn Địa lí 12 cấp tỉnh năm học 2023-2024</t>
  </si>
  <si>
    <t>Đoạt giải Nhì môn Địa lí 12 cấp tỉnh năm học 2023-2024</t>
  </si>
  <si>
    <t>Đoạt giải Ba môn Toán 12 cấp tỉnh năm học 2023-2024</t>
  </si>
  <si>
    <t>Đoạt giải Ba môn Vật lí 12 cấp tỉnh năm học 2023-2024</t>
  </si>
  <si>
    <t>Đoạt giải Nhì môn Hóa học 12 cấp tỉnh năm học 2023-2024</t>
  </si>
  <si>
    <t>Đoạt giải Nhì môn Sinh học 12 cấp tỉnh năm học 2023-2024</t>
  </si>
  <si>
    <t>Đoạt giải Ba môn Sinh học 12 cấp tỉnh năm học 2023-2024</t>
  </si>
  <si>
    <t>Đoạt giải Nhì môn Tiếng Anh 12 cấp tỉnh năm học 2023-2024</t>
  </si>
  <si>
    <t>Đoạt giải Ba môn Tiếng Anh 12 cấp tỉnh năm học 2023-2024</t>
  </si>
  <si>
    <t>Đoạt giải Nhất môn Tin học 11 cấp tỉnh năm học 2023-2024</t>
  </si>
  <si>
    <t>Đoạt giải Ba môn Tin học 11 cấp tỉnh năm học 2023-2024</t>
  </si>
  <si>
    <t>Đoạt giải Ba môn Cờ vua cấp tỉnh năm học 2023-2024</t>
  </si>
  <si>
    <t>Đoạt giải Nhì và giải Ba môn Điền kinh cấp tỉnh năm học 2023-2024</t>
  </si>
  <si>
    <t>Đoạt giải Nhì môn Cầu lông cấp tỉnh năm học 2023-2024</t>
  </si>
  <si>
    <t>Đoạt giải Ba môn Cầu lông cấp tỉnh năm học 2023-2024</t>
  </si>
  <si>
    <t>Đoạt 2 giải Ba môn Cầu lông cấp tỉnh năm học 2023-2024</t>
  </si>
  <si>
    <t>Đoạt giải Khuyến khích môn Ngữ văn 12 cấp tỉnh năm học 2023-2024</t>
  </si>
  <si>
    <t>Đoạt giải Khuyến khích môn Lịch sử 12 cấp tỉnh năm học 2023-2024</t>
  </si>
  <si>
    <t>Đoạt giải Khuyến khích môn Toán 12 cấp tỉnh năm học 2023-2024</t>
  </si>
  <si>
    <t>Đoạt giải Khuyến khích môn Vật lí 12 cấp tỉnh năm học 2023-2024</t>
  </si>
  <si>
    <t>Đoạt giải Khuyến khích môn Tiếng Anh 12 cấp tỉnh năm học 2023-2024</t>
  </si>
  <si>
    <t>Đoạt giải Nhì môn Giáo dục công dân 12 cấp tỉnh năm học 2023-2024</t>
  </si>
  <si>
    <t>Đoạt giải Khuyến khích môn Giáo dục công dân 12 cấp tỉnh năm học 2023-2024</t>
  </si>
  <si>
    <t>Nguyễn Thị Thu Hương</t>
  </si>
  <si>
    <t>Đặng Thị Vân</t>
  </si>
  <si>
    <t>Nguyễn Hồng Trinh</t>
  </si>
  <si>
    <t>Đặng Thị Hải Yến</t>
  </si>
  <si>
    <t>Lục Thị Thanh Tuyên</t>
  </si>
  <si>
    <t>Trần Thị Mỹ Lượng</t>
  </si>
  <si>
    <t>Đàm Văn Vinh</t>
  </si>
  <si>
    <t>Nguyễn Bắc Hưng</t>
  </si>
  <si>
    <t>Phạm Thị Hường</t>
  </si>
  <si>
    <t>Đoàn Thị Thanh</t>
  </si>
  <si>
    <t>Hoàng Thị Lý</t>
  </si>
  <si>
    <t>Nguyễn Thị Chung</t>
  </si>
  <si>
    <t>Phan Thị Hoa</t>
  </si>
  <si>
    <t>Nguyễn Trang Ly</t>
  </si>
  <si>
    <t>Nguyễn Thị Thảo</t>
  </si>
  <si>
    <t>Nguyễn Thị Thêm</t>
  </si>
  <si>
    <t>Vũ Quốc Bảo</t>
  </si>
  <si>
    <t>Giáp Xuân Trường</t>
  </si>
  <si>
    <t>Nguyễn Ngọc Biên</t>
  </si>
  <si>
    <t>Hán Thị Nguyệt</t>
  </si>
  <si>
    <t>Nguyễn Văn Mạnh</t>
  </si>
  <si>
    <t>Phạm Đức Cường</t>
  </si>
  <si>
    <t>Thạch Vũ Dũng</t>
  </si>
  <si>
    <t>Lương Thị Bích Ngọc</t>
  </si>
  <si>
    <t>Ngô Thị Chiến</t>
  </si>
  <si>
    <t>Nguyễn Thu Hường</t>
  </si>
  <si>
    <t>Đào Thị Thêm</t>
  </si>
  <si>
    <t>Nguyễn Văn Mai</t>
  </si>
  <si>
    <t>Nguyễn Thị Bích Hồng</t>
  </si>
  <si>
    <t>Bồi dưỡng học sinh đoạt giải Nhất môn Tiếng Anh 12 cấp tỉnh năm học 2023-2024</t>
  </si>
  <si>
    <t>Tổ phó CM</t>
  </si>
  <si>
    <t>Bồi dưỡng học sinh đoạt giải Nhì môn Cờ vua cấp tỉnh năm học 2023-2024</t>
  </si>
  <si>
    <t>Bồi dưỡng học sinh đoạt giải Nhì môn Điền kinh cấp tỉnh năm học 2023-2024</t>
  </si>
  <si>
    <t>Bồi dưỡng học sinh đoạt giải Nhì môn Ngữ Văn 12 cấp tỉnh năm học 2023-2024</t>
  </si>
  <si>
    <t>Phó CTCĐ</t>
  </si>
  <si>
    <t>Bồi dưỡng học sinh đoạt giải Nhất môn Vật lí 12 cấp tỉnh năm học 2023-2024</t>
  </si>
  <si>
    <t>Bồi dưỡng học sinh đoạt giải Nhất môn Cầu lông, giải ba Điền kinh cấp tỉnh năm học 2023-2024</t>
  </si>
  <si>
    <t>Bồi dưỡng học sinh đoạt giải Nhì môn Cầu lông, giải ba Bơi cấp tỉnh năm học 2023-2024</t>
  </si>
  <si>
    <t>Bồi dưỡng học sinh đoạt giải Nhì môn Ngữ văn 12 cấp tỉnh năm học 2023-2024</t>
  </si>
  <si>
    <t>Bồi dưỡng học sinh đoạt giải Nhì môn Vật lí 12 cấp tỉnh năm học 2023-2024</t>
  </si>
  <si>
    <t>Bồi dưỡng học sinh đoạt giải Ba môn Bơi cấp tỉnh năm học 2023-2024</t>
  </si>
  <si>
    <t>Bồi dưỡng học sinh đoạt giải Khuyến khích môn Tin học 11 cấp tỉnh năm học 2023-2024</t>
  </si>
  <si>
    <t>Bồi dưỡng học sinh đoạt giải Khuyến khích môn Địa lí 12 cấp tỉnh năm học 2023-2024</t>
  </si>
  <si>
    <t>Bồi dưỡng học sinh đoạt giải Khuyến khích môn Sinh học 12 cấp tỉnh năm học 2023-2024</t>
  </si>
  <si>
    <t>Bồi dưỡng học sinh đoạt giải Khuyến khích môn Hóa học 12 cấp tỉnh năm học 2023-2024</t>
  </si>
  <si>
    <t>Bồi dưỡng học sinh đoạt giải Ba Khoa học kỹ thuật cấp tỉnh năm học 2023-2024</t>
  </si>
  <si>
    <t>Nguyễn Thị Bích Liên</t>
  </si>
  <si>
    <t>12A5</t>
  </si>
  <si>
    <t>Đào Thị Phương Thuỳ</t>
  </si>
  <si>
    <t>Trần Đỗ Phương Linh</t>
  </si>
  <si>
    <t>Lăng Thị Thu Phương</t>
  </si>
  <si>
    <t>Nguyễn Quốc Việt</t>
  </si>
  <si>
    <t>12A3</t>
  </si>
  <si>
    <t>Đỗ Thị Trang</t>
  </si>
  <si>
    <t>Đỗ Văn Quốc Việt</t>
  </si>
  <si>
    <t>Nguyễn Văn Vượng</t>
  </si>
  <si>
    <t>Trương Thành Đạt</t>
  </si>
  <si>
    <t>11A1</t>
  </si>
  <si>
    <t>Trần Thị Mỹ Duyên</t>
  </si>
  <si>
    <t>Lương Minh Chiến</t>
  </si>
  <si>
    <t>12A1</t>
  </si>
  <si>
    <t>Nguyễn Thị Huyền Trang</t>
  </si>
  <si>
    <t>Hoàng Ngọc Khánh</t>
  </si>
  <si>
    <t>Phạm Như Quỳnh</t>
  </si>
  <si>
    <t>Nguyễn Thị Công Hà</t>
  </si>
  <si>
    <t>Nguyễn Dương Minh</t>
  </si>
  <si>
    <t>Vương Chu Ngọc Hà</t>
  </si>
  <si>
    <t>Thân Thị Huyền Trang</t>
  </si>
  <si>
    <t>Hoàng Văn Quân</t>
  </si>
  <si>
    <t>Nguyễn Trần Hồng Khánh</t>
  </si>
  <si>
    <t>Nguyễn Hoàng Long</t>
  </si>
  <si>
    <t>Hoàng Minh Quân</t>
  </si>
  <si>
    <t>Phan Thị Hoài</t>
  </si>
  <si>
    <t>Hoàng Thị Thùy Linh</t>
  </si>
  <si>
    <t>Phan Nguyệt Hằng</t>
  </si>
  <si>
    <t>Trần Thị Nhung</t>
  </si>
  <si>
    <t>10A1</t>
  </si>
  <si>
    <t>Cao Đăng Phương Anh</t>
  </si>
  <si>
    <t>11A4</t>
  </si>
  <si>
    <t>Nguyễn Thị Khánh My</t>
  </si>
  <si>
    <t>Nguyễn Thị Hoàn</t>
  </si>
  <si>
    <t>Nguyễn Thanh Mai</t>
  </si>
  <si>
    <t>10A4</t>
  </si>
  <si>
    <t>Trần Triệu Đại</t>
  </si>
  <si>
    <t>10A5</t>
  </si>
  <si>
    <t>Bùi Khánh Lê</t>
  </si>
  <si>
    <t>10A2</t>
  </si>
  <si>
    <t>Đoạt giải Nhất môn Vật lí 12 cấp tỉnh năm học 2023-2024</t>
  </si>
  <si>
    <t>Đoạt giải Nhất môn Tiếng Anh 12 cấp tỉnh năm học 2023-2024</t>
  </si>
  <si>
    <t>Đoạt giải Nhất, Nhì Cầu lông cấp tỉnh năm học 2023-2024</t>
  </si>
  <si>
    <t>Đoạt 02 giải Nhất Cầu lông cấp tỉnh năm học 2023-2024</t>
  </si>
  <si>
    <t>Đoạt giải Nhì môn Ngữ văn 12 cấp tỉnh năm học 2023-2024</t>
  </si>
  <si>
    <t>Đoạt giải Nhì môn Vật lí 12 cấp tỉnh năm học 2023-2024</t>
  </si>
  <si>
    <t>Đoạt giải Nhì, Ba Điền kinh và giải Ba bơi cấp tỉnh năm học 2023-2024</t>
  </si>
  <si>
    <t>Đoạt giải Nhì môn Cờ vua cấp tỉnh năm học 2023-2024</t>
  </si>
  <si>
    <t>Đoạt giải Ba môn Lịch sử lớp 12 cấp tỉnh năm học 2023-2024</t>
  </si>
  <si>
    <t>Đoạt giải Ba môn Vật lí lớp 12 cấp tỉnh năm học 2023-2024</t>
  </si>
  <si>
    <t>Đoạt giải Ba môn Toán học lớp 12 cấp tỉnh năm học 2023-2024</t>
  </si>
  <si>
    <t>Đoạt giải Ba môn Toán lớp 12 cấp tỉnh năm học 2023-2024</t>
  </si>
  <si>
    <t>Đoạt giải Ba môn Hóa học lớp 12 cấp tỉnh năm học 2023-2024</t>
  </si>
  <si>
    <t>Đoạt giải Ba môn Tiếng Anh  lớp 12 cấp tỉnh năm học 2023-2024</t>
  </si>
  <si>
    <t>Đoạt giải Ba môn Tiếng Anh lớp 12 cấp tỉnh năm học 2023-2024</t>
  </si>
  <si>
    <t>Đoạt giải Ba môn Ngữ văn lớp 12 cấp tỉnh năm học 2023-2024</t>
  </si>
  <si>
    <t>Đoạt giải Ba Khoa học kỹ thuật cấp tỉnh năm học 2023-2024</t>
  </si>
  <si>
    <t>Đoạt giải Ba môn Điền kinh cấp tỉnh năm học 2023-2024</t>
  </si>
  <si>
    <t>Đoạt 02 giải Ba môn Bơi cấp tỉnh năm học 2023-2024</t>
  </si>
  <si>
    <t>Đoạt giải Khuyến khích môn Tin học lớp 11 cấp tỉnh năm học 2023-2024</t>
  </si>
  <si>
    <t>Đoạt giải Khuyến khích môn Địa lí lớp 12 cấp tỉnh năm học 2023-2024</t>
  </si>
  <si>
    <t>Đoạt giải Khuyến khích môn Sinh học lớp 12 cấp tỉnh năm học 2023-2024</t>
  </si>
  <si>
    <t>Đoạt giải Khuyến khích môn Hóa học lớp 12 cấp tỉnh năm học 2023-2024</t>
  </si>
  <si>
    <t>Nguyễn Minh Đức</t>
  </si>
  <si>
    <t>Trương Quốc Thanh</t>
  </si>
  <si>
    <t>Bồi dưỡng học sinh đoạt giải giải Ba môn Sinh học 12 cấp tỉnh; giải Khuyến khích Sáng tạo thanh thiếu niên, nhi đồng cấp tỉnh năm học 2023-2024</t>
  </si>
  <si>
    <t>Đoạt giải Khuyến khích Sáng tạo thanh thiếu niên, nhi đồng cấp tỉnh năm 2023</t>
  </si>
  <si>
    <t>Nguyễn Văn Thao</t>
  </si>
  <si>
    <t>Lương Thị Lan Hương</t>
  </si>
  <si>
    <t>Đoàn Thị Hải Yến</t>
  </si>
  <si>
    <t>Phạm Thị Loan</t>
  </si>
  <si>
    <t>Lê Thị Huệ</t>
  </si>
  <si>
    <t>Lâm Thị Thùy</t>
  </si>
  <si>
    <t>Lưu Thị Ánh Tuyết</t>
  </si>
  <si>
    <t>Nông Văn Biên</t>
  </si>
  <si>
    <t>Phạm Xuân Thời</t>
  </si>
  <si>
    <t>Dương Đình Mạnh</t>
  </si>
  <si>
    <t>Phan Thúy Hà</t>
  </si>
  <si>
    <t>Bồi dưỡng học sinh đoạt giải Khuyến khích môn Giáo dục công dân 12 cấp tỉnh năm học 2023-2024</t>
  </si>
  <si>
    <t>Bồi dưỡng học sinh đoạt giải Ba môn Ngữ văn 12 cấp tỉnh năm học 2023-2024</t>
  </si>
  <si>
    <t>Bồi dưỡng học sinh đoạt giải Ba môn Địa lí 12 cấp tỉnh năm học 2023-2024</t>
  </si>
  <si>
    <t>Bồi dưỡng học sinh đoạt giải Khuyến khích môn Sinh 12 cấp tỉnh năm học 2023-2024</t>
  </si>
  <si>
    <t>Bồi dưỡng học sinh đoạt giải Nhất môn Điền kinh, giải  Nhì môn Điền kinh và giải Ba môn Điền kinh cấp tỉnh năm học 2023-2024</t>
  </si>
  <si>
    <t>Bồi dưỡng học sinh đoạt giải Nhất môn Đá cầu và giải Nhì môn Đá cầu cấp tỉnh năm học 2023-2024</t>
  </si>
  <si>
    <t>Bùi Thị Minh Thư</t>
  </si>
  <si>
    <t>Chu Thị Huệ</t>
  </si>
  <si>
    <t>Đoàn Thị Thúy Hường</t>
  </si>
  <si>
    <t>Hoàng Thị Hà Phương</t>
  </si>
  <si>
    <t>12A2</t>
  </si>
  <si>
    <t>Trần Bích Nhi</t>
  </si>
  <si>
    <t>Nông Thị Chúc</t>
  </si>
  <si>
    <t>Lê Thị Hiền</t>
  </si>
  <si>
    <t>Trần Thị Lan Hương</t>
  </si>
  <si>
    <t>Trần Thị Hạnh</t>
  </si>
  <si>
    <t>Nguyễn Yến Vy</t>
  </si>
  <si>
    <t>Nông Hà Bắc</t>
  </si>
  <si>
    <t>Nguyễn Quang Thắng</t>
  </si>
  <si>
    <t>Địch Văn Thơ</t>
  </si>
  <si>
    <t>Hoàng Ngọc Mai</t>
  </si>
  <si>
    <t>Đoàn Hoài Linh</t>
  </si>
  <si>
    <t>Đoạt giải Khuyến khích môn Sinh học 12 cấp tỉnh năm học 2023-2024.</t>
  </si>
  <si>
    <t>Đoạt giải Khuyến khích môn Lịch sử 12 cấp tỉnh năm học 2023-2024.</t>
  </si>
  <si>
    <t>Đoạt giải Ba môn Ngữ văn cấp tỉnh năm học 2023-2024</t>
  </si>
  <si>
    <t>Đoạt giải Ba môn Cờ vua cấp tỉnh năm học 2023-2024.</t>
  </si>
  <si>
    <t>Đoạt giải Nhì môn Giáo dục công dân 12 cấp tỉnh năm học 2023-2024.</t>
  </si>
  <si>
    <t>Đoạt giải Khuyến khích môn Giáo dục công dân 12 cấp tỉnh năm học 2023-2024.</t>
  </si>
  <si>
    <t>Đoạt giải  Ba môn Địa lí 12 cấp tỉnh năm học 2023-2024.</t>
  </si>
  <si>
    <t>Đoạt giải Nhất, giải Nhì môn Điền kinh cấp tỉnh năm học 2023-2024.</t>
  </si>
  <si>
    <t>Đoạt giải Ba môn Điền kinh cấp tỉnh năm học 2023-2024.</t>
  </si>
  <si>
    <t>Đoạt giải Nhất môn Đá cầu cấp tỉnh năm học 2023-2024.</t>
  </si>
  <si>
    <t>Đoạt giải Nhất, đoạt giải Nhì môn Đá cầu cấp tỉnh năm học 2023-2024.</t>
  </si>
  <si>
    <t>Đoạt giải Nhì môn Đá cầu cấp tỉnh năm học 2023-2024.</t>
  </si>
  <si>
    <t>Đỗ Duy Hoàn</t>
  </si>
  <si>
    <t>Cao đẳng miền núi Bắc Giang</t>
  </si>
  <si>
    <t>10A8</t>
  </si>
  <si>
    <t>Lục Văn Nam</t>
  </si>
  <si>
    <t>Đặng Thị Quyên</t>
  </si>
  <si>
    <t>Bồi dưỡng học sinh đoạt giải Ba môn Toán học 12 cấp tỉnh năm học 2023-2024</t>
  </si>
  <si>
    <t>Bồi dưỡng học sinh đoạt giải Nhì Bóng chuyền cấp tỉnh năm học 2023-2024</t>
  </si>
  <si>
    <t>Võ Nguyễn Việt Anh</t>
  </si>
  <si>
    <t>9B</t>
  </si>
  <si>
    <t>Ngô Doãn Đông</t>
  </si>
  <si>
    <t xml:space="preserve">9A </t>
  </si>
  <si>
    <t>Ngô Thái Khang</t>
  </si>
  <si>
    <t>8B</t>
  </si>
  <si>
    <t xml:space="preserve">Bùi Quốc Triệu </t>
  </si>
  <si>
    <t>9A</t>
  </si>
  <si>
    <t>Lê Đức Hiếu</t>
  </si>
  <si>
    <t>9D</t>
  </si>
  <si>
    <t>Phạm Thị Thanh Thùy</t>
  </si>
  <si>
    <t>Đỗ Thoại Thơ</t>
  </si>
  <si>
    <t>Lê Anh Tuấn</t>
  </si>
  <si>
    <t>8C</t>
  </si>
  <si>
    <t>Phạm Huy Kiệt</t>
  </si>
  <si>
    <t>Đoàn Phương Trà</t>
  </si>
  <si>
    <t>Đỗ Quỳnh Anh</t>
  </si>
  <si>
    <t>Đoạt giải Nhất Bóng đá cấp tỉnh năm học 2023-2024</t>
  </si>
  <si>
    <t>Đoạt 02 giải Nhì Bơi cấp tỉnh năm học 2023-2024</t>
  </si>
  <si>
    <t>Đoạt giải Nhì Bóng chuyền cấp tỉnh năm học 2023-2024</t>
  </si>
  <si>
    <t>Đoạt giải Nhì Điền kinh cấp tỉnh năm học 2023-2024</t>
  </si>
  <si>
    <t>Đoạt giải Nhì Điền kinh cấp tỉnh năm học 2023-2024; đoạt giải Nhì môn Vật lí 9 cấp huyện năm học 2023-2024</t>
  </si>
  <si>
    <t>Đoạt giải Ba Đá cầu cấp tỉnh năm học 2023-2024</t>
  </si>
  <si>
    <t>Đoạt 02 giải Ba Đá cầu cấp tỉnh năm học 2023-2024</t>
  </si>
  <si>
    <t>Phạm Văn Giang</t>
  </si>
  <si>
    <t>Hoàng Thị Hiền</t>
  </si>
  <si>
    <t>Dương Thị Thanh Thủy</t>
  </si>
  <si>
    <t>Bồi dưỡng học sinh đoạt giải Nhất môn Bóng đá cấp tỉnh năm học 2023-2024</t>
  </si>
  <si>
    <t>Bồi dưỡng học sinh đoạt giải Nhì môn Bóng chuyền cấp tỉnh năm học 2023-2024</t>
  </si>
  <si>
    <t>Nông Đức Khải</t>
  </si>
  <si>
    <t>Hoàng Hải Đăng</t>
  </si>
  <si>
    <t>Âu Thị Yến</t>
  </si>
  <si>
    <t>8A</t>
  </si>
  <si>
    <t>Đoạt giải Nhất môn Vật lí 9 cấp huyện năm học 2023-2024</t>
  </si>
  <si>
    <t>Đoạt giải Nhất môn Bóng đá và giải Nhì môn Bóng chuyền cấp tỉnh năm học 2023-2024</t>
  </si>
  <si>
    <t>Lưu Văn Đồng</t>
  </si>
  <si>
    <t>THCS Đổng Tiến</t>
  </si>
  <si>
    <t>Đồng Quốc Tuấn</t>
  </si>
  <si>
    <t>9A1</t>
  </si>
  <si>
    <t>Vi Thị Mai Hương</t>
  </si>
  <si>
    <t>Đoạt giải Nhì môn Bóng chuyền cấp tỉnh năm học 2023-2024</t>
  </si>
  <si>
    <t>Đoạt giải Nhì môn Điền kinh cấp tỉnh năm học 2023-2024</t>
  </si>
  <si>
    <t>Nguyễn Thị Loan</t>
  </si>
  <si>
    <t>Nhân viên y tế</t>
  </si>
  <si>
    <t>Bồi dưỡng học sinh đoạt 01 giải Nhất, 01 giải Ba môn Cầu lông và 01 giải Nhì môn Bóng chuyền cấp tỉnh năm học 2023-2024</t>
  </si>
  <si>
    <t>Bồi dưỡng học sinh đoạt 01 giải Nhất, 01 giải Nhì môn Điền kinh cấp tỉnh năm học 2023-2024</t>
  </si>
  <si>
    <t>Bồi dưỡng học sinh đoạt 01 giải Nhất môn Bóng đá cấp tỉnh năm học 2023-2024</t>
  </si>
  <si>
    <t>Phan Tùng Dương</t>
  </si>
  <si>
    <t>Đỗ Hà Quế</t>
  </si>
  <si>
    <t>7B</t>
  </si>
  <si>
    <t>Lương Thế Vương</t>
  </si>
  <si>
    <t>Phương Hoàng Chí Vỹ</t>
  </si>
  <si>
    <t>Trần Minh Thư</t>
  </si>
  <si>
    <t>6B</t>
  </si>
  <si>
    <t>Đoạt 01 giải Nhất, 01 giải Nhì môn Điền kinh cấp tỉnh năm học 2023-2204</t>
  </si>
  <si>
    <t>Đoạt 01 giải Nhất, 01 giải Ba môn Cầu lông cấp tỉnh năm học 2023-2024</t>
  </si>
  <si>
    <t>Đoạt giải Nhất môn Bóng đá cấp tỉnh năm học 2023-2024</t>
  </si>
  <si>
    <t>Nguyễn Thị Liễu</t>
  </si>
  <si>
    <t>Ngô Thị Thắm</t>
  </si>
  <si>
    <t>Nguyễn Thị Thùy</t>
  </si>
  <si>
    <t>Nhân viên</t>
  </si>
  <si>
    <t>Đàm Văn Bảo</t>
  </si>
  <si>
    <t>9C</t>
  </si>
  <si>
    <t>Lư Gia Bình</t>
  </si>
  <si>
    <t>Nguyễn Văn Tùng</t>
  </si>
  <si>
    <t>Đoàn Hồng Đại</t>
  </si>
  <si>
    <t>Hoàng Thị Tự</t>
  </si>
  <si>
    <t>Nguyễn Văn Hưng</t>
  </si>
  <si>
    <t xml:space="preserve">Ông </t>
  </si>
  <si>
    <t>Mạc Hoàng Vân</t>
  </si>
  <si>
    <t>Bồi dưỡng học sinh đoạt giải Nhất, Nhì, Ba môn Đẩy gậy cấp tỉnh năm học 2023-2024</t>
  </si>
  <si>
    <t>Bồi dưỡng học sinh đoạt giải Nhất môn GDCD 8 cấp huyện năm học 2023-2024</t>
  </si>
  <si>
    <t>Bồi dưỡng học sinh đoạt giải Khuyến khích môn Tiếng Anh 9 cấp tỉnh; đoạt giải Nhì môn Tiếng Anh 9 cấp huyện năm học 2023-2024</t>
  </si>
  <si>
    <t>Bồi dưỡng học sinh đoạt giải Ba môn Sinh học 9 cấp tỉnh, đoạt giải Nhất môn Sinh học 9 cấp huyện năm học 2023-2024</t>
  </si>
  <si>
    <t>Vũ Thị Hà Vy</t>
  </si>
  <si>
    <t>Trương Thùy Linh</t>
  </si>
  <si>
    <t>Ngô Anh Khoa</t>
  </si>
  <si>
    <t>Lê Ngọc Tường Mi</t>
  </si>
  <si>
    <t>Lý Thị Thu Hương</t>
  </si>
  <si>
    <t>Phạm Văn Dương</t>
  </si>
  <si>
    <t>Giáp Trung Anh</t>
  </si>
  <si>
    <t>Nguyễn Văn Đức</t>
  </si>
  <si>
    <t>Chu Gia Kiên</t>
  </si>
  <si>
    <t>Dương Thị Mai Hương</t>
  </si>
  <si>
    <t>Hà Thị Thu Yên</t>
  </si>
  <si>
    <t>Phạm Thu Thùy</t>
  </si>
  <si>
    <t>7A</t>
  </si>
  <si>
    <t>Nguyễn Tuấn Anh</t>
  </si>
  <si>
    <t>Đoạt giải Ba môn Sinh học 9 cấp tỉnh, đoạt giải Nhất môn Sinh học 9 cấp huyện năm học 2023-2024</t>
  </si>
  <si>
    <t>Đoạt giải Khuyến khích môn Tiếng Anh 9 cấp tỉnh, đoạt giải Nhì môn Tiếng Anh 9 cấp huyện năm học 2023-2024</t>
  </si>
  <si>
    <t>Đoạt giải Nhất môn Giáo dục công dân 8 cấp huyện năm học 2023-2024</t>
  </si>
  <si>
    <t>Đoạt giải Nhất môn Đẩy gậy cấp tỉnh năm học 2023-2024</t>
  </si>
  <si>
    <t>Đoạt giải Nhì môn Đẩy gậy cấp tỉnh năm học 2023-2024</t>
  </si>
  <si>
    <t>Đoạt giải Ba môn Đẩy gậy cấp tỉnh năm học 2023-2024</t>
  </si>
  <si>
    <t>Phạm Thị Mai Hương</t>
  </si>
  <si>
    <t>Đỗ Thị Thanh Nga</t>
  </si>
  <si>
    <t>Nguyễn Thị Thủy</t>
  </si>
  <si>
    <t>Bồi dưỡng học sinh đoạt giải Ba Khoa học kỹ thuật cấp tỉnh; đoạt giải Nhì Khoa học kỹ thuật cấp huyện năm học 2023-2024</t>
  </si>
  <si>
    <t>Bồi dưỡng học sinh đoạt giải Nhất, Nhì môn Tin học lớp 8 cấp huyện; đoạt giải Nhì, Ba Tin học trẻ cấp huyện năm học 2023-2024</t>
  </si>
  <si>
    <t>Phạm Thảo Nguyên</t>
  </si>
  <si>
    <t>Phạm Minh Thư</t>
  </si>
  <si>
    <t>Phạm Phú Hoan</t>
  </si>
  <si>
    <t>Đoạt giải Ba Khoa học kỹ thuật cấp tỉnh; đoạt giải Nhì Khoa học kỹ thuật cấp huyện năm học 2023-2024</t>
  </si>
  <si>
    <t>Đoạt giải Nhất môn Tin học lớp 8 cấp huyện; đoạt giải Ba Tin học trẻ cấp huyện năm học 2023-2024</t>
  </si>
  <si>
    <t>Nguyễn Thị Thu Hà</t>
  </si>
  <si>
    <t>Trịnh Văn Mạnh</t>
  </si>
  <si>
    <t>Bồi dưỡng học sinh đoạt giải Nhất, Nhì, Ba môn Địa lí cấp huyện năm học 2023-2024</t>
  </si>
  <si>
    <t>Bồi dưỡng học sinh đoạt giải Nhất môn Bóng đá và giải Ba môn Bơi cấp tỉnh năm học 2023-2024</t>
  </si>
  <si>
    <t>Nguyễn Tuấn Kiệt</t>
  </si>
  <si>
    <t>Phạm Quang Minh</t>
  </si>
  <si>
    <t>Đoạt giải Ba môn Bơi cấp tỉnh năm học 2023-2024</t>
  </si>
  <si>
    <t>Lý Văn Hưng</t>
  </si>
  <si>
    <t>Hà Văn Hưng</t>
  </si>
  <si>
    <t>Phùng Văn Quyết</t>
  </si>
  <si>
    <t>Bồi dưỡng học sinh đoạt 02 giải Nhì, 02 giải Ba cấp tỉnh môn Đá cầu năm học 2023-2024</t>
  </si>
  <si>
    <t>Phó hiệu trưởng</t>
  </si>
  <si>
    <t xml:space="preserve">Bồi dưỡng học sinh đoạt giải Khuyến khích môn Hóa học 9 cấp tỉnh; đoạt giải Nhất môn Hóa học 9 cấp huyện năm học 2023-2024 </t>
  </si>
  <si>
    <t>Vi Thế Anh</t>
  </si>
  <si>
    <t>Phương Quốc Khánh</t>
  </si>
  <si>
    <t>Đoạt giải Khuyến khích môn Hóa học 9 cấp tỉnh; đoạt giải Nhất môn Hóa học 9 cấp huyện năm học 2023-2024</t>
  </si>
  <si>
    <t>Đỗ Thị Thủy</t>
  </si>
  <si>
    <t>Bồi dưỡng học sinh đoạt 02 giải Ba và 04 giải Khuyến khích môn Giáo dục công dân 9 cấp tỉnh; 02 giải Ba môn Giáo dục công dân 9 cấp huyện năm học 2023-2024</t>
  </si>
  <si>
    <t>Hà Thị Hường</t>
  </si>
  <si>
    <t>8A1</t>
  </si>
  <si>
    <t>Đoạt giải Nhì môn Đá cầu cấp tỉnh năm học 2023-2024</t>
  </si>
  <si>
    <t>Đoạt giải Khuyến khích môn Giáo dục công dân 9 cấp tỉnh; đoạt giải Ba môn Giáo dục công dân 9 cấp huyện năm học 2023-2024</t>
  </si>
  <si>
    <t>Đinh Mạnh Dương</t>
  </si>
  <si>
    <t>Bùi Huy Khương</t>
  </si>
  <si>
    <t>Mai Hương Huế</t>
  </si>
  <si>
    <t>Đỗ Mai Uyên</t>
  </si>
  <si>
    <t>Bồi dưỡng học sinh đoạt 01 giải Nhì Đá cầu cấp tỉnh, 02 giải Ba đá cầu cấp tỉnh năm học 2023-2024</t>
  </si>
  <si>
    <t>Bồi dưỡng học sinh đoạt giải Khuyến khích môn Ngữ văn 9 cấp tỉnh năm học 2023-2024</t>
  </si>
  <si>
    <t>Bồi dưỡng học sinh đoạt giải Nhất môn Địa lí 9 cấp huyện, giải Ba Địa lí 8 cấp huyện năm học 2023-2024</t>
  </si>
  <si>
    <t>Trần Thị Hiển</t>
  </si>
  <si>
    <t>Nguyễn Thị Hường</t>
  </si>
  <si>
    <t>Đinh Hải Anh</t>
  </si>
  <si>
    <t>Vi Nguyễn Gia Huy</t>
  </si>
  <si>
    <t>Nguyễn Thị Mai Phương</t>
  </si>
  <si>
    <t>Đoạt giải Nhất môn Địa lí 9 cấp huyện năm học 2023-2024</t>
  </si>
  <si>
    <t>Đoạt giải Khuyến khích môn Ngữ văn 9 cấp tỉnh năm học 2023-2024 và Khuyến khích môn Ngữ văn 9 cấp huyện năm học 2023-2024</t>
  </si>
  <si>
    <t>Đoạt giải Nhì Đá cầu cấp tỉnh năm học 2023-2024</t>
  </si>
  <si>
    <t>Mã Thị Hiền</t>
  </si>
  <si>
    <t>Trần Thị Xiêm</t>
  </si>
  <si>
    <t>Thân Ngọc Huy</t>
  </si>
  <si>
    <t>ông</t>
  </si>
  <si>
    <t>Nguyễn Thị Lương Yến</t>
  </si>
  <si>
    <t>Hoàng Thị Thuỳ Liên</t>
  </si>
  <si>
    <t>Nguyễn Lệ Thuỷ</t>
  </si>
  <si>
    <t>Nguyễn Thị Hoài Thu</t>
  </si>
  <si>
    <t>Phùng Thị Thu Thủy</t>
  </si>
  <si>
    <t>Phan Thị Thanh Hương</t>
  </si>
  <si>
    <t>Vũ Hoài Nam</t>
  </si>
  <si>
    <t>Hoàng Thị Minh Nguyệt</t>
  </si>
  <si>
    <t>Triệu Thị Ngọc Diệp</t>
  </si>
  <si>
    <t>Phạm Thị Nga</t>
  </si>
  <si>
    <t>Lương Văn Tuấn</t>
  </si>
  <si>
    <t>Trần Đại Dương</t>
  </si>
  <si>
    <t>Tổ trưởng CM</t>
  </si>
  <si>
    <t>Bồi dưỡng học sinh đoạt giải Nhất, Nhì, Ba môn 
Toán 6 cấp huyện năm học 2023-2024</t>
  </si>
  <si>
    <t>Bồi dưỡng học sinh đoạt giải Nhất, Nhì, Ba môn 
Tiếng Anh 6 cấp huyện năm học 2023-2024</t>
  </si>
  <si>
    <t>Bồi dưỡng học sinh đoạt giải Khuyến khích môn Địa lý 9 cấp tỉnh; Giải Nhất, Nhì, Ba môn Địa lý 9 cấp huyện năm học 2023-2024</t>
  </si>
  <si>
    <t>Bồi dưỡng học sinh đoạt giải Khuyến khích môn
Tiếng Anh 9 cấp tỉnh; Giải Nhất, Nhì, Ba môn
Tiếng Anh 9 cấp huyện năm học 2023-2024</t>
  </si>
  <si>
    <t>bà</t>
  </si>
  <si>
    <t>Phó Hiệu trưởng</t>
  </si>
  <si>
    <t>Phạm Văn Huân</t>
  </si>
  <si>
    <t>Bồi dưỡng học sinh đạt giải Nhất môn Bóng đá;
Nhất, Ba môn Cầu lôn; Nhì, Ba môn Đá cầu cấp tỉnh năm học 2023-2024.</t>
  </si>
  <si>
    <t>Bồi dưỡng học sinh đoạt giải Ba và giải Khuyến khích môn Lịch sử 9 cấp tỉnh năm học 2023-2024</t>
  </si>
  <si>
    <t>Bồi dưỡng học sinh đoạt giải Ba và giải khuyến khích môn Giáo dục công dân 9 cấp tỉnh; Giải Nhất môn Giáo dục công dân 9 cấp huyện năm học 2023-2024</t>
  </si>
  <si>
    <t>Bồi dưỡng học sinh đoạt giải Ba và giải Khuyến khích môn Sinh học 9 cấp tỉnh; Giải Nhất, Nhì, Ba môn Sinh học 9 cấp huyện năm học 2023-2024</t>
  </si>
  <si>
    <t>Bồi dưỡng học sinh đoạt giải Nhất, Nhì, Ba môn Hóa học 8 cấp huyện năm học 2023-2024</t>
  </si>
  <si>
    <t>Bồi dưỡng học sinh đoạt giải Nhất môn Tiếng Anh 7 cấp huyện năm học 2023-2024</t>
  </si>
  <si>
    <t>Bồi dưỡng học sinh đạt giải Nhất, Nhì, Ba Điền kinh cấp tỉnh; Nhì Bóng chuyền cấp tỉnh năm học 2023-2024</t>
  </si>
  <si>
    <t>Bồi dưỡng học sinh đoạt giải Nhất
môn Địa lí 8 cấp huyện năm học 2023-2024</t>
  </si>
  <si>
    <t>Lê Duy Hiếu</t>
  </si>
  <si>
    <t>9A2</t>
  </si>
  <si>
    <t>Hoàng Nhật Minh</t>
  </si>
  <si>
    <t>9A3</t>
  </si>
  <si>
    <t>Nguyễn Hữu Trí</t>
  </si>
  <si>
    <t>Ngô Nguyễn Minh Hoàng</t>
  </si>
  <si>
    <t>Nguyễn Lê Nguyên</t>
  </si>
  <si>
    <t>8A3</t>
  </si>
  <si>
    <t>Thân Ngọc Bảo Trân</t>
  </si>
  <si>
    <t>7A2</t>
  </si>
  <si>
    <t>Hoàng Phúc Hưng</t>
  </si>
  <si>
    <t>Nguyễn Minh Hải</t>
  </si>
  <si>
    <t>6A1</t>
  </si>
  <si>
    <t>Nguyễn Minh Phong</t>
  </si>
  <si>
    <t>7A1</t>
  </si>
  <si>
    <t>Phạm Nguyễn Gia  Minh</t>
  </si>
  <si>
    <t xml:space="preserve"> Trần Thị Thuỳ Dương</t>
  </si>
  <si>
    <t>Mai Phương Lâm</t>
  </si>
  <si>
    <t>8A2</t>
  </si>
  <si>
    <t xml:space="preserve">THCS Hoàng Hoa Thám </t>
  </si>
  <si>
    <t>Trần Phương Thảo</t>
  </si>
  <si>
    <t>Trần Thanh Thư</t>
  </si>
  <si>
    <t>Nông Đức Trí</t>
  </si>
  <si>
    <t>Phạm Anh Thư</t>
  </si>
  <si>
    <t>Nguyễn Đình Bình</t>
  </si>
  <si>
    <t>Bùi Phương Vy</t>
  </si>
  <si>
    <t>Nguyễn Hải Yến</t>
  </si>
  <si>
    <t>Giáp Nguyễn Phương Chi</t>
  </si>
  <si>
    <t>Phạm Thị Thu Hương</t>
  </si>
  <si>
    <t xml:space="preserve">Ngô Thị Lan </t>
  </si>
  <si>
    <t>Đạt giải Nhất môn Ngữ văn 8 cấp huyện năm học 2023 - 2024</t>
  </si>
  <si>
    <t>Đạt giải Nhất môn Toán 6 cấp huyện năm học 2023-2024</t>
  </si>
  <si>
    <t>Đạt giải Nhất môn Tiếng Anh 6 cấp huyện năm học 2023-2024</t>
  </si>
  <si>
    <t>Đạt giải Khuyến khích môn Ngữ văn 9 câp tỉnh, giải Nhất môn Ngữ văn 9 cấp huyện năm học 2023-2024</t>
  </si>
  <si>
    <t>Đạt giải Ba môn Ngữ văn 9 cấp tỉnh, giải Nhì môn Ngữ văn 9 cấp huyện năm học 2023-2024</t>
  </si>
  <si>
    <t>Đạt giải Khuyến khích môn Ngữ văn 9 cấp tỉnh, giải Ba môn Ngữ văn 9 cấp huyện năm học 2023-2024</t>
  </si>
  <si>
    <t>Đạt giải Nhất môn Tiếng Anh 7 cấp huyện năm học 2023-2024</t>
  </si>
  <si>
    <t>Đạt giải Nhất môn Tiếng Anh 8 cấp huyện năm học 2023-2024</t>
  </si>
  <si>
    <t>Đoạt giải Nhất môn Bóng đá, Nhì môn Bóng chuyền cấp tỉnh năm học 2023-2024</t>
  </si>
  <si>
    <t>Đạt giải Nhất môn Cầu lông, giải Ba môn đá cầu cấp tỉnh năm học 2023-2024</t>
  </si>
  <si>
    <t>Đạt giải Nhì môn Đá cầu cấp tỉnh năm học 2023-2024</t>
  </si>
  <si>
    <t>Đạt giải Nhất môn Địa lí 8 cấp huyện năm học 2023-2024</t>
  </si>
  <si>
    <t>Đạt giải khuyến khích môn Giáo dục công dân 9 cấp tỉnh, giải Nhì môn Giáo dục công dân 9 huyện năm học 2023 - 2024</t>
  </si>
  <si>
    <t>Đạt giải Ba môn Giáo dục công dân 9 cấp tỉnh, giải Nhất môn Giáo dục công dân 9 cấp huyện  năm học 2023 - 2024</t>
  </si>
  <si>
    <t>Đạt giải khuyến khích môn Sinh học 9 cấp tỉnh, Nhì môn Sinh học 9 cấp huyện năm học 2023 - 2024</t>
  </si>
  <si>
    <t>Đạt giải Khuyến khích Khoa học kỹ thuật cấp tỉnh, giải Nhì Khoa học kỹ thuật cấp huyện năm học 2023 - 2024</t>
  </si>
  <si>
    <t>Đạt giải Nhất môn Vật lí 8 cấp huyện năm học 2023 - 2024</t>
  </si>
  <si>
    <t>Đạt giải Khuyến khích môn Tiếng Anh 9 cấp tỉnh, giải Nhất môn Tiếng Anh 9 cấp huyện năm học 2023-2024</t>
  </si>
  <si>
    <t>Đạt giải Khuyến khích môn Tiếng Anh 9 cấp tỉnh, giải Ba môn Tiếng Anh 9 cấp huyện năm học 2023-2024</t>
  </si>
  <si>
    <t>Vi Thị Thêm</t>
  </si>
  <si>
    <t>Đào Xuân Toàn</t>
  </si>
  <si>
    <t>Bồi dưỡng học sinh đạt 03 giải Nhất, 04 giải Nhì, 02 giải Ba môn Bơi cấp tỉnh năm học 2023-2024</t>
  </si>
  <si>
    <t>La Tiểu Phương</t>
  </si>
  <si>
    <t>Đoạt giải Nhất môn Ngữ văn 7 cấp huyện năm học 2023-2024</t>
  </si>
  <si>
    <t>Vương Bá Sơn</t>
  </si>
  <si>
    <t>THCS thị trấn Bố Hạ</t>
  </si>
  <si>
    <t>Phạm Thị Vân Ngà</t>
  </si>
  <si>
    <t>Nguyễn Xuân Hảo</t>
  </si>
  <si>
    <t>Nguyễn Thị Lan</t>
  </si>
  <si>
    <t>Nguyễn Thanh Tùng</t>
  </si>
  <si>
    <t>Nguyễn Trung Kiên</t>
  </si>
  <si>
    <t>Vũ Vi Ngọc Lan</t>
  </si>
  <si>
    <t>Nguyễn Thị Thu Trà</t>
  </si>
  <si>
    <t>Nguyễn Thị Mai Huyên</t>
  </si>
  <si>
    <t>Nguyễn Thị Nam</t>
  </si>
  <si>
    <t>Phạm Thị Thùy</t>
  </si>
  <si>
    <t>Vi Văn Trung</t>
  </si>
  <si>
    <t>Nguyễn Thị Mỹ Hạnh</t>
  </si>
  <si>
    <t>Đồng Thị Nga</t>
  </si>
  <si>
    <t>Bồi dưỡng học sinh đoạt giải Ba, Khuyến khích môn Ngữ văn 9 cấp tỉnh năm học 2023-2024; đoạt giải Nhất, Nhì, Ba môn Ngữ văn 9 cấp huyện năm học 2023-2024</t>
  </si>
  <si>
    <t>Tổ phó tổ KHXH</t>
  </si>
  <si>
    <t>Tổ trưởng tổ KHTN</t>
  </si>
  <si>
    <t>Bồi dưỡng học sinh đoạt giải Khuyến khích môn Hóa học 9 cấp tỉnh năm học 2023-2024; đoạt giải Ba môn Hóa học 9 cấp huyện năm học 2023-2024</t>
  </si>
  <si>
    <t>Tổ phó tổ KHTN</t>
  </si>
  <si>
    <t>Bồi dưỡng học sinh đoạt giải Nhất, Ba môn Cầu Lông 6-7 cấp tỉnh năm học 2023-2024; đoạt giải Nhất, ba môn Bơi cấp tỉnh năm học 2023-2024</t>
  </si>
  <si>
    <t>Bồi dưỡng học sinh đoạt giải Nhất; Nhì; Ba môn Toán 7 cấp huyện năm học 2023-2024</t>
  </si>
  <si>
    <t>Tổ trưởng tổ KHXH</t>
  </si>
  <si>
    <t>Bồi dưỡng học sinh đoạt giải Khuyến khích môn Tiếng Anh 9 cấp tỉnh năm học 2023-2024; đoạt giải Nhất, Nhì, Ba môn Tiếng Anh 9 cấp huyện năm học 2023-2024</t>
  </si>
  <si>
    <t>Bồi dưỡng học sinh đoạt giải Khuyến khích môn Toán 9 cấp tỉnh năm học 2023-2024; đoạt giải Nhất, Nhì, Ba môn Toán 9 cấp huyện năm học 2023-2024</t>
  </si>
  <si>
    <t>Bồi dưỡng học sinh đoạt giải Khuyến khích môn Địa lí 9 cấp tỉnh năm học 2023-2024; đoạt giải Ba môn Địa lí 9 cấp huyện năm học 2023-2024</t>
  </si>
  <si>
    <t>Đỗ Hương Giang</t>
  </si>
  <si>
    <t>Nguyễn Thanh Trà</t>
  </si>
  <si>
    <t>Nguyễn Đức Khánh</t>
  </si>
  <si>
    <t>Trần Huyền Trang</t>
  </si>
  <si>
    <t>Nguyễn Thùy Linh</t>
  </si>
  <si>
    <t>Trần Văn Nam</t>
  </si>
  <si>
    <t>Đoàn Khánh Ngọc</t>
  </si>
  <si>
    <t>Giáp Vân Anh</t>
  </si>
  <si>
    <t>7A3</t>
  </si>
  <si>
    <t>Nguyễn Trần Tuấn Minh</t>
  </si>
  <si>
    <t>Nguyễn Bảo Duy</t>
  </si>
  <si>
    <t>Nguyễn Đình Hiếu</t>
  </si>
  <si>
    <t>Ninh Gia Phúc</t>
  </si>
  <si>
    <t>Phạm Thùy Dương</t>
  </si>
  <si>
    <t>6A5</t>
  </si>
  <si>
    <t>Đào Minh Trí</t>
  </si>
  <si>
    <t>Đào Đức Trí</t>
  </si>
  <si>
    <t>Trần Thùy Linh</t>
  </si>
  <si>
    <t>Nguyễn Duy Quyết</t>
  </si>
  <si>
    <t>Đặng  Khánh Linh</t>
  </si>
  <si>
    <t>9A4</t>
  </si>
  <si>
    <t>Đoạt giải Khuyến khích môn Giáo dục công dân 9 cấp tỉnh năm học 2023-2024; đoạt giải Ba môn Giáo dục công dân 9 cấp huyện năm học 2023-2024.</t>
  </si>
  <si>
    <t>Đoạt giải Ba môn Lịch sử 9 cấp tỉnh năm học 2023-2024; đoạt giải Nhất môn Lịch sử 9 cấp huyện năm học 2023-2024</t>
  </si>
  <si>
    <t>Đoạt giải Ba môn Lịch sử 9 cấp tỉnh năm học 2023-2024; đoạt giải Nhì môn Lịch sử 9 cấp huyện năm học 2023-2024</t>
  </si>
  <si>
    <t>Đoạt giải Khuyến khích môn Toán 9 cấp tỉnh năm học 2023-2024; đoạt giải Ba môn Bóng bàn cấp tỉnh năm học 2023-2024; đoạt giải Nhì môn Toán 9 cấp huyện năm học 2023-2024</t>
  </si>
  <si>
    <t>Đoạt giải Khuyến khích môn Địa lí 9 cấp tỉnh năm học 2023-2024; đoạt giải Ba môn Địa lí 9 cấp huyện năm học 2023-2024</t>
  </si>
  <si>
    <t>Đoạt giải Khuyến khích môn Giáo dục công dân 9 cấp tỉnh năm học 2023-2024; đoạt giải Ba môn Giáo dục công dân 9 cấp huyện năm học 2023-2024</t>
  </si>
  <si>
    <t>Đoạt giải Khuyến khích môn Hóa học 9 cấp tỉnh năm học 2023-2024; đoạt giải Ba môn Hóa học 9 cấp huyện năm học 2023-2024</t>
  </si>
  <si>
    <t>Đoạt giải Khuyến khích môn Lịch sử 9 cấp tỉnh năm học 2023-2024; đoạt giải Ba môn Lịch sử 9 cấp huyện năm học 2023-2024</t>
  </si>
  <si>
    <t>Đoạt giải Nhất môn Toán 7 cấp huyện năm học 2023-2024</t>
  </si>
  <si>
    <t>Đoạt giải Nhất môn Toán 8 cấp huyện năm học 2023-2024</t>
  </si>
  <si>
    <t>Đoạt giải Nhất Tin học trẻ, đoạt giải Ba môn Tin học 8 cấp huyện năm học 2023-2024</t>
  </si>
  <si>
    <t>Đoạt giải Nhất môn Cầu lông cấp tỉnh năm học 2023-2024; đoạt giải Nhì môn Toán 8 cấp huyện năm học 2023-2024</t>
  </si>
  <si>
    <t>Đoạt giải Nhất môn Bơi cấp tỉnh năm học 2023-2024</t>
  </si>
  <si>
    <t>Đoạt giải Nhất môn Cầu lông cấp tỉnh năm học 2023-2024; đoạt giải Ba môn Bơi cấp tỉnh năm học 2023-2024</t>
  </si>
  <si>
    <t>Đoạt giải Ba môn Cầu lông cấp tỉnh năm học 2023-2024.</t>
  </si>
  <si>
    <t>Đoạt giải Nhất môn Cầu lông cấp tỉnh năm học 2023-2024; đoạt giải Ba môn Cầu lông cấp tỉnh năm học 2023-2024</t>
  </si>
  <si>
    <t>Đoạt giải Ba môn Bóng bàn cấp tỉnh năm học 2023-2024</t>
  </si>
  <si>
    <t>Đặng Văn Xuân</t>
  </si>
  <si>
    <t>Phạm Trung Dũng</t>
  </si>
  <si>
    <t>Bùi Thị Thúy</t>
  </si>
  <si>
    <t>Nguyễn Văn Khương</t>
  </si>
  <si>
    <t>Đàm Danh Chính</t>
  </si>
  <si>
    <t>Phạm Thị Thu Hoài</t>
  </si>
  <si>
    <t>Bồi dưỡng học sinh đoạt 01 giải Ba và 04 giải Khuyến khích môn Sinh học 9 cấp tỉnh năm học 2023-2024</t>
  </si>
  <si>
    <t>Bồi dưỡng học sinh đoạt 02 giải Ba và 01 giải Khuyến khích môn Lịch sử 9 cấp tỉnh năm học 2023-2024</t>
  </si>
  <si>
    <t>Bồi dưỡng học sinh đoạt 02 giải Khuyến khích môn Địa lí 9 cấp tỉnh năm học 2023-2024</t>
  </si>
  <si>
    <t>Bồi dưỡng học sinh đoạt 03 giải Nhất; 04 giải Nhì; 02 giải Ba môn Bơi cấp tỉnh năm học 2023-2024</t>
  </si>
  <si>
    <t>Bồi dưỡng học sinh đoạt giải Nhất môn Bóng đá nam cấp tỉnh năm học 2023-2024; đoạt 03 giải Nhất; 04 giải Nhì; 02 giải Ba môn Bơi cấp tỉnh năm học 2023-2024</t>
  </si>
  <si>
    <t>Bồi dưỡng học sinh đoạt giải Nhất môn Sinh học 8 cấp huyện năm học 2023-2024</t>
  </si>
  <si>
    <t>Nguyễn Vũ Thu Phương</t>
  </si>
  <si>
    <t>Nguyễn Văn Trọng</t>
  </si>
  <si>
    <t>Nguyễn Tiến Tú</t>
  </si>
  <si>
    <t>Hoàng Thị Ngọc Ánh</t>
  </si>
  <si>
    <t>Đoạt giải Khuyến khích môn Sinh học 9 cấp tỉnh năm học 2023-2024; đoạt giải Ba môn Sinh học 9 cấp huyện năm học 2023-2024.</t>
  </si>
  <si>
    <t>Đoạt giải Khuyến khích môn Sinh học 9 cấp tỉnh năm học 2023-2024; đoạt giải Nhì môn Sinh học 9 cấp huyện năm học 2023-2024.</t>
  </si>
  <si>
    <t>Đoạt giải Nhất môn Bóng đá nam cấp tỉnh năm học 2023-2024.</t>
  </si>
  <si>
    <t>Đoạt giải Nhất Sinh học 8 cấp huyện năm học 2023-2024.</t>
  </si>
  <si>
    <t>Trần Thị Huyền</t>
  </si>
  <si>
    <t>Trương Thị Bích</t>
  </si>
  <si>
    <t>Hà Tiến Huy</t>
  </si>
  <si>
    <t>Nông Văn Quân</t>
  </si>
  <si>
    <t>Nguyễn Thu Huyền</t>
  </si>
  <si>
    <t>Tô Thị Thêu</t>
  </si>
  <si>
    <t>Bồi dưỡng học sinh đoạt giải Nhất, Ba môn Sinh học 8 cấp huyện năm học 2023-2024</t>
  </si>
  <si>
    <t xml:space="preserve">Bồi dưỡng học sinh đoạt giải Nhất môn Bóng đá cấp tỉnh năm học 2023-2024 </t>
  </si>
  <si>
    <t>Bồi dưỡng học sinh đoạt giải Ba môn Đá cầu cấp tỉnh năm học 2023-2024</t>
  </si>
  <si>
    <t>Bồi dưỡng học sinh đoạt giải Khuyến khích môn Sinh học 9 cấp tỉnh; đoạt 02 giải Ba cấp huyện năm học 2023-2024</t>
  </si>
  <si>
    <t>Bồi dưỡng học sinh đoạt giải Khuyến khích môn Địa lí  9 cấp tỉnh; đoạt giải Nhì môn Địa lí 9, giải Ba môn Địa lí 8 cấp huyện năm học 2023-2024</t>
  </si>
  <si>
    <t xml:space="preserve"> Khúc Xuân Hòa</t>
  </si>
  <si>
    <t>Trần Ngọc Hà</t>
  </si>
  <si>
    <t>Hà Khánh Ly</t>
  </si>
  <si>
    <t>Nguyễn Anh Thư</t>
  </si>
  <si>
    <t>Trần Quỳnh Trang</t>
  </si>
  <si>
    <t>Đoạt giải Khuyến khích môn Sinh học 9 cấp tỉnh năm học 2023-2024; đoạt giải Ba môn Sinh học 9 cấp huyện năm học 2023-2024</t>
  </si>
  <si>
    <t>Đoạt giải Khuyến khích môn Toán 9 cấp tỉnh năm học 2023-2024; đoạt giải Nhất môn Toán 9 cấp huyện năm học 2023-2024</t>
  </si>
  <si>
    <t>Đoạt giải Khuyến khích môn Địa lí 9 cấp tỉnh năm học 2023-2024; đoạt giải Nhì môn Địa lí 9 cấp huyện năm học 2023-2024</t>
  </si>
  <si>
    <t xml:space="preserve">Đoạt giải Ba môn đá cầu cấp tỉnh năm học 2023-2024 </t>
  </si>
  <si>
    <t>Đoạt giải Ba môn đá cầu cấp tỉnh năm học 2023-2024</t>
  </si>
  <si>
    <t>Bùi Thị Cương</t>
  </si>
  <si>
    <t>Trần Quang Khải</t>
  </si>
  <si>
    <t>Nguyễn Phương Tứ</t>
  </si>
  <si>
    <t>Bồi dưỡng học sinh đoạt giải Nhất môn Đá bóng cấp tỉnh năm học 2023-2024</t>
  </si>
  <si>
    <t>Nguyễn Văn Sơn</t>
  </si>
  <si>
    <t xml:space="preserve">Đoạt giải Nhất môn Bóng đá nam cấp tỉnh năm học 2023-2024
</t>
  </si>
  <si>
    <t>Lê Thị Vân Anh</t>
  </si>
  <si>
    <t>PTDTNT Yên Thế</t>
  </si>
  <si>
    <t>Bùi Thị Thu Nga</t>
  </si>
  <si>
    <t>Nguyễn Thị Minh</t>
  </si>
  <si>
    <t>Nguyễn Xuân Tình</t>
  </si>
  <si>
    <t>Hoàng Minh Đông</t>
  </si>
  <si>
    <t>Bồi dưỡng học sinh đoạt giải Khuyến khích môn Toán 9 cấp tỉnh năm học 2023-2024; 01 giải Ba môn Toán 9; 01 giải Ba KHKT cấp huyện năm học 2023-2024.</t>
  </si>
  <si>
    <t>Bồi dưỡng học sinh đoạt giải Nhì môn Đá Cầu cấp tỉnh năm học 2023-2024</t>
  </si>
  <si>
    <t>Hoàng Văn Nghiệp</t>
  </si>
  <si>
    <t>Nguyễn Thị Mai Chi</t>
  </si>
  <si>
    <t>Lý Việt Hoàng</t>
  </si>
  <si>
    <t>Dương Đắc Cử</t>
  </si>
  <si>
    <t>Đoạt giải Nhất Ngữ văn 6 cấp huyện năm học 2023-2024</t>
  </si>
  <si>
    <t>Đoạt giải Nhì Bóng Chuyền cấp tỉnh năm học 2023-2024</t>
  </si>
  <si>
    <t>Đoạt giải Nhì Đá Cầu cấp tỉnh năm học 2023-2024</t>
  </si>
  <si>
    <t>Nguyễn Thị Hiền</t>
  </si>
  <si>
    <t>Bồi dưỡng học sinh đoạt 01 giải Nhất và 01 giải Ba môn Hóa học 8 cấp huyện năm học 2023-2024</t>
  </si>
  <si>
    <t>Hứa Thị Yến</t>
  </si>
  <si>
    <t>Đoạt giải Nhất môn Hóa học 8 cấp huyện năm học 2023-2024</t>
  </si>
  <si>
    <t>Phạm Văn Bình</t>
  </si>
  <si>
    <t>Nguyễn Thị Yến</t>
  </si>
  <si>
    <t>Giáp Thị Chinh</t>
  </si>
  <si>
    <t>Bồi dưỡng học sinh đoạt giải Nhất môn Địa lí 8 cấp huyện năm học 2023-2024</t>
  </si>
  <si>
    <t>Bồi dưỡng học sinh đoạt giải Nhì Khoa học kỹ thuật cấp tỉnh năm học 2023-2024; Bồi dưỡng học sinh đoạt giải Nhất Khoa học kỹ thuật cấp huyện năm học 2023-2024</t>
  </si>
  <si>
    <t>Trần Lộc Hồng Anh</t>
  </si>
  <si>
    <t>Ngô Tùng Lâm</t>
  </si>
  <si>
    <t>Nguyễn Diệu Châu</t>
  </si>
  <si>
    <t>5B</t>
  </si>
  <si>
    <t>Nguyễn Tuấn Hưng</t>
  </si>
  <si>
    <t>Đoạt giải Nhì Khoa học kỹ thuật cấp tỉnh năm học 2023-2024; Đoạt giải Nhất Khoa học kỹ thuật cấp huyện năm học 2023-2024; Đoạt giải Ba môn Giáo dục công dân 9 cấp tỉnh năm học 2023-2024; đoạt giải Nhì môn Giáo dục công dân 9 cấp huyện năm học 2023-2024.</t>
  </si>
  <si>
    <t>Đoạt giải Nhì Khoa học kỹ thuật cấp tỉnh năm học 2023-2024; Đoạt giải Nhất Khoa học kỹ thuật cấp huyện năm học 2023-2024</t>
  </si>
  <si>
    <t>Phạm Thị Hương</t>
  </si>
  <si>
    <t>Kế toán</t>
  </si>
  <si>
    <t>Bồi dưỡng học sinh đoạt 01 giải Nhất và 01giải Nhì môn Bơi cấp tỉnh năm học 2023-2024</t>
  </si>
  <si>
    <t>Trần Mạnh Hùng</t>
  </si>
  <si>
    <t>5A</t>
  </si>
  <si>
    <t>Đoạt 01 giải Nhất và 01 giải Nhì môn Bơi cấp tỉnh năm học 2023-2024</t>
  </si>
  <si>
    <t>Nguyễn Ngọc Hiếu</t>
  </si>
  <si>
    <t>Thân Thị Giang</t>
  </si>
  <si>
    <t>Lý Thị Nga</t>
  </si>
  <si>
    <t>Bùi Thủy Tiên</t>
  </si>
  <si>
    <t>5C</t>
  </si>
  <si>
    <t>Nguyễn Văn Hùng</t>
  </si>
  <si>
    <t>Đoạt 01 giải Nhì, 01 giải Ba môn Điền kinh cấp tỉnh năm học 2023-2024</t>
  </si>
  <si>
    <t>Đoạt giải Ba nội môn Đá cầu cấp tỉnh năm học 2023-2024</t>
  </si>
  <si>
    <t>Giáp Anh Tuấn</t>
  </si>
  <si>
    <t>Bồi dưỡng học sinh đoạt giải Nhất, Ba môn Bóng bàn và đoạt giải Nhất, Nhì, Ba môn Điền kinh cấp tỉnh năm học 2023-2024</t>
  </si>
  <si>
    <t>Phạm Thị Thắm</t>
  </si>
  <si>
    <t>Bồi dưỡng học sinh Đoạt giải Ba môn Điền kinh cấp tỉnh năm học 2023-2024</t>
  </si>
  <si>
    <t>Nguyễn Thu Trang</t>
  </si>
  <si>
    <t>5A2</t>
  </si>
  <si>
    <t>Mai Văn Hiếu</t>
  </si>
  <si>
    <t>Bồi dưỡng học sinh đoạt giải Nhất môn Bóng đá cấp tỉnh; đoạt giải Nhì, Ba môn Đá cầu cấp tỉnh năm học 2023-2024</t>
  </si>
  <si>
    <t>Đỗ Văn Liêm</t>
  </si>
  <si>
    <t>Bồi dưỡng học sinh đoạt giải Nhất môn Bơi, môn Bóng bàn cấp tỉnh năm học 2023-2024</t>
  </si>
  <si>
    <t>Nguyễn Thị Thùy Trinh</t>
  </si>
  <si>
    <t>Lê Thị Na</t>
  </si>
  <si>
    <t>Nguyễn Văn Định</t>
  </si>
  <si>
    <t>Phạm Đình Tới</t>
  </si>
  <si>
    <t>Bồi dưỡng học sinh đoạt Nhất môn Bóng đá, giải Nhất điền kinh, giải Nhì Bóng chuyền cấp tỉnh  năm học 2023-2024</t>
  </si>
  <si>
    <t>Dương Thị Hân</t>
  </si>
  <si>
    <t>Hứa Minh Tuân</t>
  </si>
  <si>
    <t>Lục Minh Đức</t>
  </si>
  <si>
    <t>Hứa Trung Hiếu</t>
  </si>
  <si>
    <t>Đoạt giải 2 giải Ba môn Đá cầu cấp tỉnh năm học 2023-2024</t>
  </si>
  <si>
    <t>Đoạt giải giải Ba môn Đá cầu cấp tỉnh năm học 2023-2024</t>
  </si>
  <si>
    <t>Đoạt giải giải Ba môn Điền kinh cấp tỉnh năm học 2023-2024</t>
  </si>
  <si>
    <t>Bùi Tá Thêm</t>
  </si>
  <si>
    <t>Nguyễn Thị Phương</t>
  </si>
  <si>
    <t>Đoàn Trung Chinh</t>
  </si>
  <si>
    <t>Bồi dưỡng học sinh đoạt giải Nhất môn Bóng đá, giải Nhất môn Cầu lông cấp tỉnh năm học 2023-2024</t>
  </si>
  <si>
    <t>Trần Thị Tú</t>
  </si>
  <si>
    <t>Tiểu học Tân Sỏi</t>
  </si>
  <si>
    <t>Bồi dưỡng học sinh đoạt giải Ba môn Điền kinh cấp tỉnh năm học 2023-2024</t>
  </si>
  <si>
    <t>Lê Hà Phước</t>
  </si>
  <si>
    <t>Phạm Văn Đăng</t>
  </si>
  <si>
    <t>Vũ Thị Dung</t>
  </si>
  <si>
    <t>Nguyễn Tiến Phúc</t>
  </si>
  <si>
    <t>Nguyễn Thị Lý</t>
  </si>
  <si>
    <t>Bồi dưỡng học sinh đoạt giải Nhất, giải Ba môn Bóng bàn cấp tỉnh năm học 2023-2024</t>
  </si>
  <si>
    <t>Bồi dưỡng học sinh đoạt giải Nhất, giải Nhì môn Bơi cấp tỉnh năm học 2023-2024</t>
  </si>
  <si>
    <t>Bồi dưỡng học sinh đoạt giải Ba Cầu lông cấp tỉnh năm học 2023-2024</t>
  </si>
  <si>
    <t>Phan Hải Phong</t>
  </si>
  <si>
    <t>Nguyễn Quang Đạt</t>
  </si>
  <si>
    <t>5A1</t>
  </si>
  <si>
    <t>Lương Khánh Chi</t>
  </si>
  <si>
    <t>Nguyễn Khả Vy</t>
  </si>
  <si>
    <t>4A1</t>
  </si>
  <si>
    <t>Bùi Phương Ngân</t>
  </si>
  <si>
    <t>5A5</t>
  </si>
  <si>
    <t>Nguyễn Hoàng Yến</t>
  </si>
  <si>
    <t>3A2</t>
  </si>
  <si>
    <t>Nguyễn Bảo Thi</t>
  </si>
  <si>
    <t>Đoạt giải Nhất, giải Ba Bóng bàn cấp tỉnh năm học 2023-2024</t>
  </si>
  <si>
    <t>Đoạt giải Nhất Bóng bàn cấp tỉnh năm học 2023-2024</t>
  </si>
  <si>
    <t>Đoạt giải Nhất, giải Nhì môn Bơi cấp tỉnh năm học 2023-2024</t>
  </si>
  <si>
    <t>Bồi dưỡng học sinh đoạt giải Nhất và giải Ba môn Tin học 11 cấp tỉnh; đoạt giải Khuyến khích Tin học trẻ cấp tỉnh năm học 2023-2024</t>
  </si>
  <si>
    <t>Đoạt giải Ba môn Tin học 11; giải Khuyến khích Tin học trẻ cấp tỉnh năm học 2023-2024</t>
  </si>
  <si>
    <t>Đoạt giải Khuyến khích Tin học trẻ cấp tỉnh; đoạt giải Ba môn Tin học 8; giải Ba Tin học trẻ cấp huyện năm học 2023-2024</t>
  </si>
  <si>
    <t>Bồi dưỡng học sinh đoạt giải Nhì Tin học trẻ cấp tỉnh; Nhất, giải Ba Tin học trẻ cấp huyện năm học 2023-2024.</t>
  </si>
  <si>
    <t>Bồi dưỡng học sinh đoạt giải 01 giải Nhất và 01 giải Ba môn Ngữ văn 6 cấp huyện năm học 2023-2024; Bồi dưỡng học sinh đoạt giải Nhì môn Ngữ văn 8 cấp huyện năm học 2023-2024</t>
  </si>
  <si>
    <t>Đoạt giải Nhì cấp tỉnh, giải Nhất cấp huyện Hội thi Tin học trẻ năm học 2023-2024</t>
  </si>
  <si>
    <t>Bồi dưỡng học sinh đoạt giải Nhì Bóng chuyền cấp tỉnh năm học 2023-2024; Bồi dưỡng học sinh đoạt giải Nhất đá Bóng đá cấp tỉnh năm học 2023-2024; đoạt 02 giải Nhì Bơi cấp tỉnh năm học 2023-2024</t>
  </si>
  <si>
    <t>Bồi dưỡng học sinh đoạt giải Nhì môn Bóng chuyền cấp tỉnh năm học 2023-2024; Bồi dưỡng học sinh đoạt giải Nhì môn Điền kinh cấp tỉnh năm học 2023-2024</t>
  </si>
  <si>
    <t>Bồi dưỡng học sinh đoạt giải Khuyến khích môn Giáo dục công dân 9 cấp tỉnh năm học 2023-2024; đoạt giải Ba môn Giáo dục công dân 9 cấp huyện năm học 2023-2024; Bồi dưỡng học sinh đoạt giải Ba môn Ngữ văn 6 cấp huyện năm học 2023-2024</t>
  </si>
  <si>
    <t xml:space="preserve">Bồi dưỡng học sinh đoạt giải Nhất môn Giáo dục công dân 8 cấp huyện năm học 2023-2024; Bồi dưỡng học sinh đoạt giải Ba môn Giáo dục công dân 9 cấp tỉnh năm học 2023-2024; Bồi dưỡng học sinh đoạt giải Nhì môn Giáo dục công dân 9 cấp huyện năm học 2023-2024 </t>
  </si>
  <si>
    <t>Bồi dưỡng học sinh đoạt giải Nhất, Nhì, Ba môn Đẩy gậy cấp tỉnh năm học 2023-2024; Bồi dưỡng học sinh đoạt giải nhất môn Bóng đá cấp tỉnh năm học 2023-2024</t>
  </si>
  <si>
    <t>Bồi dưỡng học sinh đoạt giải Nhất và giải Ba môn Vật lí 9 cấp huyện năm học 2023-2024; Bồi dưỡng học sinh đoạt giải Ba môn Cờ vua cấp tỉnh năm học 2023-2024</t>
  </si>
  <si>
    <t>Bồi dưỡng học sinh đoạt giải Khuyến khích môn Toán 9 cấp tỉnh; đoạt giải Nhất, Ba Toán 9 cấp huyện năm học 2023-2024; Bồi dưỡng học sinh đạt giải Nhì môn Toán 6 cấp huyện năm học 2023-2024</t>
  </si>
  <si>
    <t>Bồi dưỡng học sinh đoạt giải Khuyến khích Khoa học kỹ thuật cấp tỉnh; giải Nhì Khoa học kỹ thuật cấp huyện. Giải Nhất, Nhì, Ba môn Vật lí 8 cấp huyện năm học 2023-2024; Bồi dưỡng học sinh đạt giải Nhì, Ba môn Vật lí 9 cấp huyện năm học 2023-2024</t>
  </si>
  <si>
    <t>Bồi dưỡng học sinh đoạt giải 01 giải Nhất, 02 giải Ba môn Ngữ văn 7 cấp huyện năm học 2023-2024; Bồi dưỡng học sinh đoạt 01 giải Ba môn Ngữ văn 6 cấp huyện năm học 2023-2024</t>
  </si>
  <si>
    <t>Bồi dưỡng học sinh đoạt giải Ba, Khuyến khích môn Lịch sử 9 cấp tỉnh năm học 2023-2024; đoạt giải Nhất, Nhì, Ba môn Lịch sử 9 cấp huyện năm học 2023-2024; Bồi dưỡng học sinh đoạt giải Nhì môn Lịch sử 8 cấp huyện năm học 2023-2024</t>
  </si>
  <si>
    <t>Đoạt Huy chương Đồng giải Đẩy gậy toàn quốc lần thứ XVIII năm 2024</t>
  </si>
  <si>
    <t>Bồi dưỡng học sinh đoạt giải Nhất, Nhì môn Tin học lớp 8 cấp huyện; đoạt giải Ba Tin học trẻ cấp huyện năm học 2023-2024</t>
  </si>
  <si>
    <t>Đoạt giải Khuyến khích môn Toán 9 cấp tỉnh; Ba môn toán 9; Ba môn Tin học trẻ cấp huyện năm học 2023-2024</t>
  </si>
  <si>
    <t>Bồi dưỡng học sinh đoạt Huy chương Bạc môn Cầu Lông lứa tuổi 14-15 toàn quốc năm học 2023-2024;  cấp tỉnh năm học 2023-2024;Bồi dưỡng học sinh đoạt giải Nhất, Ba môn Cầu Lông 8-9 cấp tỉnh năm học 2023-2024; đoạt giải Ba môn Bóng bàn 8-9 cấp tỉnh năm học 2023-2024</t>
  </si>
  <si>
    <t>Bồi dưỡng học sinh đoạt giải Khuyến khích Tin học trẻ cấp tỉnh năm học 2023-2024; đoạt giải Nhất, Ba Tin học trẻ cấp huyện năm học 2023-2024; đoạt giải Ba môn Tin học 8 cấp huyện năm học 2023-2024</t>
  </si>
  <si>
    <t>Đoạt huy chương Bạc nội dung đôi nữ môn Cầu lông lứa tuổi 14-15 toàn quốc năm học 2023-2024; đoạt giải Nhất môn Cầu lông cấp tỉnh năm học 2023-2024</t>
  </si>
  <si>
    <t>Nguyễn Thị Lệ Dung</t>
  </si>
  <si>
    <t>Bồi dưỡng học sinh đoạt giải Nhì môn Giáo dục Công dân 12 cấp tỉnh năm học 2023-2024</t>
  </si>
  <si>
    <t>Thành tích</t>
  </si>
  <si>
    <t>Nguyễn Văn Đăng</t>
  </si>
  <si>
    <t>Phạm Thành Công</t>
  </si>
  <si>
    <t>Bồi dưỡng học sinh đoạt giải Khuyến khích môn
Toán 9 cấp tỉnh; Giải Nhất, Nhì, Ba môn Toán 9 cấp huyện năm học 2023-2024</t>
  </si>
  <si>
    <t>Tăng Thị Hương  
Thảo</t>
  </si>
  <si>
    <t>Sửa chữa máy tính K14A</t>
  </si>
  <si>
    <t>Bồi dưỡng học sinh đoạt giải Nhất, Nhì, Ba môn Điền kinh cấp tỉnh năm học 2023-2024; Bồi dưỡng học sinh đoạt giải Ba môn đá cầu cấp tỉnh năm học 2023-2024</t>
  </si>
  <si>
    <t>Tiền thưởng</t>
  </si>
  <si>
    <t>Khung và 
giấy khen (bộ)</t>
  </si>
  <si>
    <t xml:space="preserve">Tổng số: </t>
  </si>
  <si>
    <t>Bằng chữ: Chín mươi sáu triệu sáu trăm sáu mươi nghìn đồng chẵn. Kinh phí khen thưởng được trích từ Quỹ Thi đua, khen thưởng ngành giáo dục./.</t>
  </si>
  <si>
    <t>Tổng số:</t>
  </si>
  <si>
    <t>Bằng chữ: Một trăm mười tám triệu tám trăm nghìn đồng chẵn. Kinh phí khen thưởng được trích từ Quỹ Thi đua, khen thưởng ngành giáo dục./.</t>
  </si>
  <si>
    <t>DANH SÁCH 
Giáo viên được khen thưởng có thành tích trong công tác bồi dưỡng học sinh đoạt giải trong các kỳ thi, 
cuộc thi cấp huyện, cấp tỉnh năm học  2023-2024</t>
  </si>
  <si>
    <t>DANH SÁCH 
Học sinh được khen thưởng có thành tích đoạt giải trong các kỳ thi, 
cuộc thi cấp huyện, cấp tỉnh năm học  2023-2024</t>
  </si>
  <si>
    <t>Phổ thông DTNT Yên Thế</t>
  </si>
  <si>
    <t>Tiểu học An Thượng</t>
  </si>
  <si>
    <t>Tiểu học Canh Nậu</t>
  </si>
  <si>
    <t>Tiểu học Đồng Kỳ</t>
  </si>
  <si>
    <t>Tiểu học Đồng Lạc</t>
  </si>
  <si>
    <t>Tiểu học Đồng Tiến</t>
  </si>
  <si>
    <t>Tiểu học Đồng Vương</t>
  </si>
  <si>
    <t>Tiểu học Hồng Kỳ</t>
  </si>
  <si>
    <t>Tiểu học Tam Hiệp</t>
  </si>
  <si>
    <t>Tiểu học Tam Tiến</t>
  </si>
  <si>
    <t>Tiểu học Tiến Thắng</t>
  </si>
  <si>
    <t>Tiểu học thị trấn Bố Hạ</t>
  </si>
  <si>
    <t>Tiểu học thị trấn Phồn Xương</t>
  </si>
  <si>
    <t>Tiểu học Xuân Lương</t>
  </si>
  <si>
    <t>Tiểu học &amp;Trung học cơ sở Đồng Tâm</t>
  </si>
  <si>
    <t>Tiểu học &amp; Trung học cơ sở Tân Hiệp</t>
  </si>
  <si>
    <t>Bồi dưỡng học sinh đoạt giải Nhất, Nhì, Ba môn Bơi cấp tỉnh năm học 2023-2024</t>
  </si>
  <si>
    <t>Bồi dưỡng học sinh đoạt giải Nhất, Nhì, Ba môn Ngữ văn 8 cấp huyện năm học 2023 - 2024</t>
  </si>
  <si>
    <t>Bồi dưỡng học sinh đoạt Nhất, giải Nhì, giải Ba môn Ngữ văn 7 cấp huyện năm học 2023-2024</t>
  </si>
  <si>
    <t>Bồi dưỡng học sinh đoạt Nhất, giải Nhì, giải Ba môn Đẩy gậy cấp tỉnh năm học 2023-2024</t>
  </si>
  <si>
    <t>Bồi dưỡng học sinh đoạt giải Nhất, Nhì, Ba môn Toán 8 cấp huyện năm học 2023-2024</t>
  </si>
  <si>
    <t>Bồi dưỡng học sinh đoạt giải Ba môn Hóa học 12 cấp  tỉnh năm học 2023-2024</t>
  </si>
  <si>
    <t>Bồi dưỡng học sinh đạt giải Ba, Khuyến khích môn Ngữ văn 9 cấp tỉnh; giải Nhất, Nhì, Ba môn Ngữ văn 9 cấp huyện năm học 2023-2024</t>
  </si>
  <si>
    <t>Bồi dưỡng học sinh đoạt giải Khuyến khích môn Hóa học 9 cấp tỉnh; giải Nhất, Nhì, Ba môn Hóa học 9 cấp huyện năm học 2023-2024</t>
  </si>
  <si>
    <t>Bồi dưỡng học sinh đoạt giải Nhất, Nhì, Ba môn Tiếng Anh 7,8 cấp huyện năm học 2023-2024</t>
  </si>
  <si>
    <t>Bồi dưỡng học sinh đoạt giải Nhất môn Cầu lông, giải ba môn Bơi cấp tỉnh năm học 2023-2024</t>
  </si>
  <si>
    <t>Vũ Hải Phong</t>
  </si>
  <si>
    <t>Bồi dưỡng học sinh đoạt giải Nhất, Nhì, Ba môn Điền kinh; Bồi dưỡng học sinh đoạt giải Nhì, Ba môn Đá cầu cấp tỉnh năm học 2023-2024</t>
  </si>
  <si>
    <t>Trung học phổ thông Bố Hạ</t>
  </si>
  <si>
    <t>Trung học phổ thông Mỏ Trạng</t>
  </si>
  <si>
    <t>Trung học phổ thông Yên Thế</t>
  </si>
  <si>
    <t>TH thị trấn Bố Hạ</t>
  </si>
  <si>
    <t>Bồi dưỡng học sinh đoạt giải Nhất và giải Nhì môn Địa lí 12 cấp tỉnh năm học 2023-2024</t>
  </si>
  <si>
    <t>(Kèm theo Quyết định số          /QĐ-UBND  ngày 23 tháng 4 năm 2024 của Chủ tịch UBND huyện)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</si>
</sst>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 ?/2"/>
    <numFmt numFmtId="195" formatCode="#\ ?/4"/>
    <numFmt numFmtId="196" formatCode="#\ ???/???"/>
    <numFmt numFmtId="197" formatCode="#\ ?/8"/>
    <numFmt numFmtId="198" formatCode="0.000"/>
  </numFmts>
  <fonts count="57">
    <font>
      <sz val="10"/>
      <name val=".VnTime"/>
      <family val="0"/>
    </font>
    <font>
      <sz val="8"/>
      <name val=".VnTime"/>
      <family val="0"/>
    </font>
    <font>
      <u val="single"/>
      <sz val="10"/>
      <color indexed="12"/>
      <name val=".VnTime"/>
      <family val="0"/>
    </font>
    <font>
      <u val="single"/>
      <sz val="10"/>
      <color indexed="36"/>
      <name val=".VnTime"/>
      <family val="0"/>
    </font>
    <font>
      <sz val="12"/>
      <name val="Times New Roman"/>
      <family val="1"/>
    </font>
    <font>
      <sz val="10"/>
      <name val="Times New Roman"/>
      <family val="1"/>
    </font>
    <font>
      <b/>
      <sz val="12"/>
      <name val="Times New Roman"/>
      <family val="1"/>
    </font>
    <font>
      <sz val="10"/>
      <name val="Arial"/>
      <family val="0"/>
    </font>
    <font>
      <sz val="11"/>
      <name val="Times New Roman"/>
      <family val="1"/>
    </font>
    <font>
      <i/>
      <sz val="11"/>
      <name val="Times New Roman"/>
      <family val="1"/>
    </font>
    <font>
      <b/>
      <sz val="10"/>
      <name val="Times New Roman"/>
      <family val="1"/>
    </font>
    <font>
      <sz val="9"/>
      <name val="Times New Roman"/>
      <family val="1"/>
    </font>
    <font>
      <b/>
      <sz val="14"/>
      <name val="Times New Roman"/>
      <family val="1"/>
    </font>
    <font>
      <sz val="12"/>
      <name val="Times New Roman&quot;"/>
      <family val="0"/>
    </font>
    <font>
      <i/>
      <sz val="14"/>
      <name val="Times New Roman"/>
      <family val="1"/>
    </font>
    <font>
      <b/>
      <sz val="13"/>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4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B0F0"/>
      <name val="Times New Roman"/>
      <family val="1"/>
    </font>
    <font>
      <b/>
      <sz val="10"/>
      <color rgb="FFFF0000"/>
      <name val="Times New Roman"/>
      <family val="1"/>
    </font>
    <font>
      <b/>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Alignment="1">
      <alignment/>
    </xf>
    <xf numFmtId="0" fontId="9" fillId="0" borderId="0" xfId="0" applyFont="1" applyFill="1" applyAlignment="1">
      <alignment/>
    </xf>
    <xf numFmtId="0" fontId="8" fillId="0" borderId="0" xfId="0" applyFont="1" applyFill="1" applyAlignment="1">
      <alignment horizontal="center"/>
    </xf>
    <xf numFmtId="0" fontId="10" fillId="0" borderId="0" xfId="0" applyFont="1" applyFill="1" applyAlignment="1">
      <alignment horizontal="center" vertical="center" wrapText="1"/>
    </xf>
    <xf numFmtId="0" fontId="4" fillId="0" borderId="10" xfId="0" applyFont="1" applyFill="1" applyBorder="1" applyAlignment="1">
      <alignment horizontal="left" vertical="center"/>
    </xf>
    <xf numFmtId="0" fontId="6" fillId="0" borderId="0" xfId="0" applyFont="1" applyFill="1" applyAlignment="1">
      <alignment horizontal="center" vertical="center" wrapText="1"/>
    </xf>
    <xf numFmtId="0" fontId="4" fillId="0" borderId="10" xfId="61" applyFont="1" applyFill="1" applyBorder="1" applyAlignment="1">
      <alignment horizontal="left" vertical="center" wrapText="1"/>
      <protection/>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xf>
    <xf numFmtId="0" fontId="6" fillId="0" borderId="0" xfId="0" applyFont="1" applyFill="1" applyAlignment="1">
      <alignment horizontal="center" vertical="center"/>
    </xf>
    <xf numFmtId="0" fontId="11" fillId="0" borderId="10" xfId="0" applyFont="1" applyFill="1" applyBorder="1" applyAlignment="1">
      <alignment horizontal="left" vertical="center" wrapText="1"/>
    </xf>
    <xf numFmtId="0" fontId="6" fillId="0" borderId="11" xfId="0" applyFont="1" applyFill="1" applyBorder="1" applyAlignment="1">
      <alignment horizontal="center"/>
    </xf>
    <xf numFmtId="0" fontId="6" fillId="0" borderId="0" xfId="0" applyFont="1" applyFill="1" applyBorder="1" applyAlignment="1">
      <alignment horizontal="center"/>
    </xf>
    <xf numFmtId="0" fontId="4" fillId="0" borderId="10" xfId="6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83" fontId="4" fillId="0" borderId="10" xfId="42" applyNumberFormat="1" applyFont="1" applyFill="1" applyBorder="1" applyAlignment="1">
      <alignment horizontal="left" vertical="center" wrapText="1"/>
    </xf>
    <xf numFmtId="0" fontId="6" fillId="0" borderId="10" xfId="0" applyFont="1" applyFill="1" applyBorder="1" applyAlignment="1">
      <alignment horizontal="center" vertical="center"/>
    </xf>
    <xf numFmtId="183" fontId="6" fillId="0" borderId="10" xfId="0" applyNumberFormat="1" applyFont="1" applyFill="1" applyBorder="1" applyAlignment="1">
      <alignment horizontal="left" vertical="center"/>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0" xfId="0" applyFont="1" applyFill="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2" fillId="0" borderId="15" xfId="0" applyFont="1" applyFill="1" applyBorder="1" applyAlignment="1">
      <alignment horizontal="left" vertical="center" wrapText="1"/>
    </xf>
    <xf numFmtId="0" fontId="12" fillId="0" borderId="0" xfId="0" applyFont="1" applyFill="1" applyAlignment="1">
      <alignment horizontal="center" wrapText="1"/>
    </xf>
    <xf numFmtId="0" fontId="14" fillId="0" borderId="0" xfId="0" applyFont="1" applyFill="1" applyBorder="1" applyAlignment="1">
      <alignment horizontal="center"/>
    </xf>
    <xf numFmtId="0" fontId="12" fillId="32" borderId="0" xfId="0" applyFont="1" applyFill="1" applyAlignment="1">
      <alignment horizontal="center" wrapText="1"/>
    </xf>
    <xf numFmtId="0" fontId="4" fillId="32" borderId="0" xfId="0" applyFont="1" applyFill="1" applyAlignment="1">
      <alignment/>
    </xf>
    <xf numFmtId="0" fontId="14" fillId="32" borderId="0" xfId="0" applyFont="1" applyFill="1" applyBorder="1" applyAlignment="1">
      <alignment horizontal="center"/>
    </xf>
    <xf numFmtId="0" fontId="8" fillId="32" borderId="0" xfId="0" applyFont="1" applyFill="1" applyAlignment="1">
      <alignment/>
    </xf>
    <xf numFmtId="0" fontId="56" fillId="32" borderId="11" xfId="0" applyFont="1" applyFill="1" applyBorder="1" applyAlignment="1">
      <alignment horizontal="center"/>
    </xf>
    <xf numFmtId="0" fontId="9" fillId="32" borderId="0" xfId="0" applyFont="1" applyFill="1" applyAlignment="1">
      <alignment/>
    </xf>
    <xf numFmtId="0" fontId="6"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8" fillId="32" borderId="0" xfId="0" applyFont="1" applyFill="1" applyAlignment="1">
      <alignment horizont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left" vertical="center" wrapText="1"/>
    </xf>
    <xf numFmtId="183" fontId="4" fillId="32" borderId="10" xfId="42" applyNumberFormat="1" applyFont="1" applyFill="1" applyBorder="1" applyAlignment="1">
      <alignment horizontal="left" vertical="center" wrapText="1"/>
    </xf>
    <xf numFmtId="0" fontId="10" fillId="32" borderId="10" xfId="0" applyFont="1" applyFill="1" applyBorder="1" applyAlignment="1">
      <alignment horizontal="center" vertical="center" wrapText="1"/>
    </xf>
    <xf numFmtId="0" fontId="10" fillId="32" borderId="0" xfId="0" applyFont="1" applyFill="1" applyAlignment="1">
      <alignment horizontal="center" vertical="center" wrapText="1"/>
    </xf>
    <xf numFmtId="0" fontId="4" fillId="32"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0" fontId="54" fillId="32" borderId="10" xfId="0" applyFont="1" applyFill="1" applyBorder="1" applyAlignment="1">
      <alignment horizontal="center" vertical="center" wrapText="1"/>
    </xf>
    <xf numFmtId="0" fontId="13" fillId="32" borderId="10" xfId="0" applyFont="1" applyFill="1" applyBorder="1" applyAlignment="1">
      <alignment horizontal="left" vertical="center"/>
    </xf>
    <xf numFmtId="0" fontId="13" fillId="32" borderId="10" xfId="0" applyFont="1" applyFill="1" applyBorder="1" applyAlignment="1">
      <alignment horizontal="center" vertical="center"/>
    </xf>
    <xf numFmtId="0" fontId="4" fillId="32" borderId="10" xfId="61" applyFont="1" applyFill="1" applyBorder="1" applyAlignment="1">
      <alignment horizontal="left" vertical="center" wrapText="1"/>
      <protection/>
    </xf>
    <xf numFmtId="0" fontId="4" fillId="32" borderId="10" xfId="61" applyFont="1" applyFill="1" applyBorder="1" applyAlignment="1">
      <alignment horizontal="center" vertical="center" wrapText="1"/>
      <protection/>
    </xf>
    <xf numFmtId="0" fontId="15" fillId="32" borderId="15" xfId="0" applyFont="1" applyFill="1" applyBorder="1" applyAlignment="1">
      <alignment horizontal="left" vertical="center" wrapText="1"/>
    </xf>
    <xf numFmtId="0" fontId="15" fillId="32" borderId="15" xfId="0" applyFont="1" applyFill="1" applyBorder="1" applyAlignment="1">
      <alignment horizontal="left" vertical="center"/>
    </xf>
    <xf numFmtId="0" fontId="6" fillId="32" borderId="0" xfId="0" applyFont="1" applyFill="1" applyAlignment="1">
      <alignment horizontal="center" vertical="center"/>
    </xf>
    <xf numFmtId="0" fontId="6" fillId="32" borderId="0" xfId="0" applyFont="1" applyFill="1" applyAlignment="1">
      <alignment horizontal="center"/>
    </xf>
    <xf numFmtId="0" fontId="4" fillId="32" borderId="0" xfId="0" applyFont="1" applyFill="1" applyAlignment="1">
      <alignment horizontal="center" vertical="center"/>
    </xf>
    <xf numFmtId="0" fontId="6" fillId="32" borderId="0" xfId="0" applyFont="1" applyFill="1" applyAlignment="1">
      <alignment horizontal="center" vertical="center"/>
    </xf>
    <xf numFmtId="0" fontId="4" fillId="32" borderId="0" xfId="0" applyFont="1" applyFill="1" applyAlignment="1">
      <alignment horizontal="left" vertical="center"/>
    </xf>
    <xf numFmtId="183" fontId="6" fillId="32" borderId="10" xfId="0" applyNumberFormat="1" applyFont="1" applyFill="1" applyBorder="1" applyAlignment="1">
      <alignment vertical="center"/>
    </xf>
    <xf numFmtId="0" fontId="6" fillId="32" borderId="10" xfId="0" applyFont="1" applyFill="1" applyBorder="1" applyAlignment="1">
      <alignment horizontal="center" vertical="center"/>
    </xf>
    <xf numFmtId="0" fontId="6" fillId="32" borderId="10" xfId="0" applyFont="1" applyFill="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2</xdr:row>
      <xdr:rowOff>66675</xdr:rowOff>
    </xdr:from>
    <xdr:to>
      <xdr:col>5</xdr:col>
      <xdr:colOff>1762125</xdr:colOff>
      <xdr:row>2</xdr:row>
      <xdr:rowOff>66675</xdr:rowOff>
    </xdr:to>
    <xdr:sp>
      <xdr:nvSpPr>
        <xdr:cNvPr id="1" name="Straight Connector 3"/>
        <xdr:cNvSpPr>
          <a:spLocks/>
        </xdr:cNvSpPr>
      </xdr:nvSpPr>
      <xdr:spPr>
        <a:xfrm>
          <a:off x="3609975" y="1085850"/>
          <a:ext cx="3543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xdr:row>
      <xdr:rowOff>57150</xdr:rowOff>
    </xdr:from>
    <xdr:to>
      <xdr:col>4</xdr:col>
      <xdr:colOff>3114675</xdr:colOff>
      <xdr:row>2</xdr:row>
      <xdr:rowOff>57150</xdr:rowOff>
    </xdr:to>
    <xdr:sp>
      <xdr:nvSpPr>
        <xdr:cNvPr id="1" name="Straight Connector 2"/>
        <xdr:cNvSpPr>
          <a:spLocks/>
        </xdr:cNvSpPr>
      </xdr:nvSpPr>
      <xdr:spPr>
        <a:xfrm>
          <a:off x="4791075" y="1104900"/>
          <a:ext cx="30480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O185"/>
  <sheetViews>
    <sheetView zoomScalePageLayoutView="0" workbookViewId="0" topLeftCell="A16">
      <selection activeCell="A1" sqref="A1:H1"/>
    </sheetView>
  </sheetViews>
  <sheetFormatPr defaultColWidth="9.00390625" defaultRowHeight="12.75"/>
  <cols>
    <col min="1" max="1" width="4.75390625" style="2" customWidth="1"/>
    <col min="2" max="2" width="7.125" style="2" customWidth="1"/>
    <col min="3" max="3" width="20.25390625" style="16" customWidth="1"/>
    <col min="4" max="4" width="17.375" style="16" customWidth="1"/>
    <col min="5" max="5" width="21.25390625" style="2" customWidth="1"/>
    <col min="6" max="6" width="43.875" style="13" customWidth="1"/>
    <col min="7" max="7" width="12.375" style="13" customWidth="1"/>
    <col min="8" max="8" width="13.25390625" style="13" customWidth="1"/>
    <col min="9" max="9" width="4.00390625" style="13" customWidth="1"/>
    <col min="10" max="10" width="3.00390625" style="13" customWidth="1"/>
    <col min="11" max="11" width="3.625" style="13" customWidth="1"/>
    <col min="12" max="12" width="4.375" style="13" customWidth="1"/>
    <col min="13" max="13" width="4.00390625" style="13" customWidth="1"/>
    <col min="14" max="14" width="3.25390625" style="2" customWidth="1"/>
    <col min="15" max="15" width="4.375" style="14" customWidth="1"/>
    <col min="16" max="17" width="4.375" style="15" customWidth="1"/>
    <col min="18" max="18" width="3.75390625" style="15" customWidth="1"/>
    <col min="19" max="21" width="4.375" style="15" customWidth="1"/>
    <col min="22" max="22" width="4.00390625" style="15" customWidth="1"/>
    <col min="23" max="23" width="5.25390625" style="15" customWidth="1"/>
    <col min="24" max="24" width="5.00390625" style="15" customWidth="1"/>
    <col min="25" max="25" width="4.375" style="15" customWidth="1"/>
    <col min="26" max="26" width="3.875" style="15" customWidth="1"/>
    <col min="27" max="27" width="4.25390625" style="15" customWidth="1"/>
    <col min="28" max="28" width="4.75390625" style="15" customWidth="1"/>
    <col min="29" max="29" width="4.25390625" style="15" customWidth="1"/>
    <col min="30" max="30" width="3.75390625" style="15" customWidth="1"/>
    <col min="31" max="31" width="4.25390625" style="15" customWidth="1"/>
    <col min="32" max="34" width="4.375" style="15" customWidth="1"/>
    <col min="35" max="35" width="3.75390625" style="15" customWidth="1"/>
    <col min="36" max="39" width="4.375" style="15" customWidth="1"/>
    <col min="40" max="40" width="3.375" style="15" customWidth="1"/>
    <col min="41" max="44" width="4.375" style="15" customWidth="1"/>
    <col min="45" max="45" width="3.625" style="15" customWidth="1"/>
    <col min="46" max="55" width="4.375" style="15" customWidth="1"/>
    <col min="56" max="56" width="9.125" style="15" customWidth="1"/>
    <col min="57" max="16384" width="9.125" style="15" customWidth="1"/>
  </cols>
  <sheetData>
    <row r="1" spans="1:8" s="6" customFormat="1" ht="57.75" customHeight="1">
      <c r="A1" s="34" t="s">
        <v>800</v>
      </c>
      <c r="B1" s="34"/>
      <c r="C1" s="34"/>
      <c r="D1" s="34"/>
      <c r="E1" s="34"/>
      <c r="F1" s="34"/>
      <c r="G1" s="34"/>
      <c r="H1" s="34"/>
    </row>
    <row r="2" spans="1:8" s="7" customFormat="1" ht="22.5" customHeight="1">
      <c r="A2" s="35" t="s">
        <v>835</v>
      </c>
      <c r="B2" s="35"/>
      <c r="C2" s="35"/>
      <c r="D2" s="35"/>
      <c r="E2" s="35"/>
      <c r="F2" s="35"/>
      <c r="G2" s="35"/>
      <c r="H2" s="35"/>
    </row>
    <row r="3" spans="1:7" s="7" customFormat="1" ht="25.5" customHeight="1">
      <c r="A3" s="18"/>
      <c r="B3" s="19"/>
      <c r="C3" s="19"/>
      <c r="D3" s="19"/>
      <c r="E3" s="19"/>
      <c r="F3" s="19"/>
      <c r="G3" s="19"/>
    </row>
    <row r="4" spans="1:8" s="8" customFormat="1" ht="54" customHeight="1">
      <c r="A4" s="5" t="s">
        <v>0</v>
      </c>
      <c r="B4" s="5" t="s">
        <v>6</v>
      </c>
      <c r="C4" s="5" t="s">
        <v>5</v>
      </c>
      <c r="D4" s="5" t="s">
        <v>3</v>
      </c>
      <c r="E4" s="5" t="s">
        <v>2</v>
      </c>
      <c r="F4" s="5" t="s">
        <v>787</v>
      </c>
      <c r="G4" s="5" t="s">
        <v>794</v>
      </c>
      <c r="H4" s="22" t="s">
        <v>795</v>
      </c>
    </row>
    <row r="5" spans="1:8" s="9" customFormat="1" ht="51" customHeight="1">
      <c r="A5" s="4">
        <v>1</v>
      </c>
      <c r="B5" s="3" t="s">
        <v>8</v>
      </c>
      <c r="C5" s="3" t="s">
        <v>670</v>
      </c>
      <c r="D5" s="4" t="s">
        <v>9</v>
      </c>
      <c r="E5" s="3" t="s">
        <v>802</v>
      </c>
      <c r="F5" s="3" t="s">
        <v>780</v>
      </c>
      <c r="G5" s="24">
        <v>540000</v>
      </c>
      <c r="H5" s="23">
        <v>1</v>
      </c>
    </row>
    <row r="6" spans="1:8" s="9" customFormat="1" ht="70.5" customHeight="1">
      <c r="A6" s="4">
        <v>2</v>
      </c>
      <c r="B6" s="3" t="s">
        <v>8</v>
      </c>
      <c r="C6" s="3" t="s">
        <v>669</v>
      </c>
      <c r="D6" s="4" t="s">
        <v>9</v>
      </c>
      <c r="E6" s="3" t="s">
        <v>802</v>
      </c>
      <c r="F6" s="3" t="s">
        <v>767</v>
      </c>
      <c r="G6" s="24">
        <v>540000</v>
      </c>
      <c r="H6" s="23">
        <v>1</v>
      </c>
    </row>
    <row r="7" spans="1:8" s="9" customFormat="1" ht="51" customHeight="1">
      <c r="A7" s="4">
        <v>3</v>
      </c>
      <c r="B7" s="3" t="s">
        <v>7</v>
      </c>
      <c r="C7" s="3" t="s">
        <v>672</v>
      </c>
      <c r="D7" s="4" t="s">
        <v>9</v>
      </c>
      <c r="E7" s="3" t="s">
        <v>802</v>
      </c>
      <c r="F7" s="3" t="s">
        <v>357</v>
      </c>
      <c r="G7" s="24">
        <v>540000</v>
      </c>
      <c r="H7" s="23">
        <v>1</v>
      </c>
    </row>
    <row r="8" spans="1:8" s="9" customFormat="1" ht="68.25" customHeight="1">
      <c r="A8" s="4">
        <v>4</v>
      </c>
      <c r="B8" s="3" t="s">
        <v>8</v>
      </c>
      <c r="C8" s="3" t="s">
        <v>667</v>
      </c>
      <c r="D8" s="4" t="s">
        <v>9</v>
      </c>
      <c r="E8" s="3" t="s">
        <v>802</v>
      </c>
      <c r="F8" s="3" t="s">
        <v>673</v>
      </c>
      <c r="G8" s="24">
        <v>540000</v>
      </c>
      <c r="H8" s="23">
        <v>1</v>
      </c>
    </row>
    <row r="9" spans="1:8" s="9" customFormat="1" ht="45" customHeight="1">
      <c r="A9" s="4">
        <v>5</v>
      </c>
      <c r="B9" s="3" t="s">
        <v>7</v>
      </c>
      <c r="C9" s="3" t="s">
        <v>671</v>
      </c>
      <c r="D9" s="4" t="s">
        <v>9</v>
      </c>
      <c r="E9" s="3" t="s">
        <v>802</v>
      </c>
      <c r="F9" s="3" t="s">
        <v>674</v>
      </c>
      <c r="G9" s="24">
        <v>540000</v>
      </c>
      <c r="H9" s="23">
        <v>1</v>
      </c>
    </row>
    <row r="10" spans="1:8" s="9" customFormat="1" ht="43.5" customHeight="1">
      <c r="A10" s="4">
        <v>6</v>
      </c>
      <c r="B10" s="3" t="s">
        <v>8</v>
      </c>
      <c r="C10" s="3" t="s">
        <v>722</v>
      </c>
      <c r="D10" s="4" t="s">
        <v>9</v>
      </c>
      <c r="E10" s="3" t="s">
        <v>803</v>
      </c>
      <c r="F10" s="3" t="s">
        <v>818</v>
      </c>
      <c r="G10" s="24">
        <v>540000</v>
      </c>
      <c r="H10" s="23">
        <v>1</v>
      </c>
    </row>
    <row r="11" spans="1:8" s="9" customFormat="1" ht="47.25" customHeight="1">
      <c r="A11" s="4">
        <v>7</v>
      </c>
      <c r="B11" s="3" t="s">
        <v>7</v>
      </c>
      <c r="C11" s="3" t="s">
        <v>416</v>
      </c>
      <c r="D11" s="4" t="s">
        <v>9</v>
      </c>
      <c r="E11" s="3" t="s">
        <v>804</v>
      </c>
      <c r="F11" s="3" t="s">
        <v>194</v>
      </c>
      <c r="G11" s="24">
        <v>540000</v>
      </c>
      <c r="H11" s="23">
        <v>1</v>
      </c>
    </row>
    <row r="12" spans="1:8" s="9" customFormat="1" ht="37.5" customHeight="1">
      <c r="A12" s="4">
        <v>8</v>
      </c>
      <c r="B12" s="3" t="s">
        <v>7</v>
      </c>
      <c r="C12" s="3" t="s">
        <v>734</v>
      </c>
      <c r="D12" s="4" t="s">
        <v>9</v>
      </c>
      <c r="E12" s="3" t="s">
        <v>805</v>
      </c>
      <c r="F12" s="3" t="s">
        <v>648</v>
      </c>
      <c r="G12" s="24">
        <v>540000</v>
      </c>
      <c r="H12" s="23">
        <v>1</v>
      </c>
    </row>
    <row r="13" spans="1:8" s="9" customFormat="1" ht="59.25" customHeight="1">
      <c r="A13" s="4">
        <v>9</v>
      </c>
      <c r="B13" s="3" t="s">
        <v>7</v>
      </c>
      <c r="C13" s="3" t="s">
        <v>736</v>
      </c>
      <c r="D13" s="4" t="s">
        <v>9</v>
      </c>
      <c r="E13" s="3" t="s">
        <v>806</v>
      </c>
      <c r="F13" s="3" t="s">
        <v>737</v>
      </c>
      <c r="G13" s="24">
        <v>540000</v>
      </c>
      <c r="H13" s="23">
        <v>1</v>
      </c>
    </row>
    <row r="14" spans="1:8" s="9" customFormat="1" ht="64.5" customHeight="1">
      <c r="A14" s="4">
        <v>10</v>
      </c>
      <c r="B14" s="3" t="s">
        <v>8</v>
      </c>
      <c r="C14" s="3" t="s">
        <v>705</v>
      </c>
      <c r="D14" s="4" t="s">
        <v>9</v>
      </c>
      <c r="E14" s="3" t="s">
        <v>807</v>
      </c>
      <c r="F14" s="3" t="s">
        <v>793</v>
      </c>
      <c r="G14" s="24">
        <v>540000</v>
      </c>
      <c r="H14" s="23">
        <v>1</v>
      </c>
    </row>
    <row r="15" spans="1:8" s="9" customFormat="1" ht="57" customHeight="1">
      <c r="A15" s="4">
        <v>11</v>
      </c>
      <c r="B15" s="3" t="s">
        <v>7</v>
      </c>
      <c r="C15" s="3" t="s">
        <v>712</v>
      </c>
      <c r="D15" s="4" t="s">
        <v>9</v>
      </c>
      <c r="E15" s="3" t="s">
        <v>808</v>
      </c>
      <c r="F15" s="3" t="s">
        <v>713</v>
      </c>
      <c r="G15" s="24">
        <v>540000</v>
      </c>
      <c r="H15" s="23">
        <v>1</v>
      </c>
    </row>
    <row r="16" spans="1:8" s="9" customFormat="1" ht="52.5" customHeight="1">
      <c r="A16" s="4">
        <v>12</v>
      </c>
      <c r="B16" s="3" t="s">
        <v>7</v>
      </c>
      <c r="C16" s="3" t="s">
        <v>724</v>
      </c>
      <c r="D16" s="4" t="s">
        <v>9</v>
      </c>
      <c r="E16" s="3" t="s">
        <v>809</v>
      </c>
      <c r="F16" s="3" t="s">
        <v>726</v>
      </c>
      <c r="G16" s="24">
        <v>540000</v>
      </c>
      <c r="H16" s="23">
        <v>1</v>
      </c>
    </row>
    <row r="17" spans="1:8" s="9" customFormat="1" ht="40.5" customHeight="1">
      <c r="A17" s="4">
        <v>13</v>
      </c>
      <c r="B17" s="3" t="s">
        <v>7</v>
      </c>
      <c r="C17" s="3" t="s">
        <v>725</v>
      </c>
      <c r="D17" s="4" t="s">
        <v>9</v>
      </c>
      <c r="E17" s="3" t="s">
        <v>809</v>
      </c>
      <c r="F17" s="3" t="s">
        <v>648</v>
      </c>
      <c r="G17" s="24">
        <v>540000</v>
      </c>
      <c r="H17" s="23">
        <v>1</v>
      </c>
    </row>
    <row r="18" spans="1:8" s="9" customFormat="1" ht="43.5" customHeight="1">
      <c r="A18" s="4">
        <v>14</v>
      </c>
      <c r="B18" s="3" t="s">
        <v>7</v>
      </c>
      <c r="C18" s="3" t="s">
        <v>720</v>
      </c>
      <c r="D18" s="4" t="s">
        <v>9</v>
      </c>
      <c r="E18" s="3" t="s">
        <v>810</v>
      </c>
      <c r="F18" s="3" t="s">
        <v>721</v>
      </c>
      <c r="G18" s="24">
        <v>540000</v>
      </c>
      <c r="H18" s="23">
        <v>1</v>
      </c>
    </row>
    <row r="19" spans="1:8" s="9" customFormat="1" ht="45.75" customHeight="1">
      <c r="A19" s="4">
        <v>15</v>
      </c>
      <c r="B19" s="3" t="s">
        <v>8</v>
      </c>
      <c r="C19" s="3" t="s">
        <v>714</v>
      </c>
      <c r="D19" s="4" t="s">
        <v>9</v>
      </c>
      <c r="E19" s="3" t="s">
        <v>811</v>
      </c>
      <c r="F19" s="3" t="s">
        <v>715</v>
      </c>
      <c r="G19" s="24">
        <v>540000</v>
      </c>
      <c r="H19" s="23">
        <v>1</v>
      </c>
    </row>
    <row r="20" spans="1:8" s="9" customFormat="1" ht="51" customHeight="1">
      <c r="A20" s="4">
        <v>16</v>
      </c>
      <c r="B20" s="12" t="s">
        <v>8</v>
      </c>
      <c r="C20" s="12" t="s">
        <v>738</v>
      </c>
      <c r="D20" s="20" t="s">
        <v>9</v>
      </c>
      <c r="E20" s="12" t="s">
        <v>739</v>
      </c>
      <c r="F20" s="12" t="s">
        <v>740</v>
      </c>
      <c r="G20" s="24">
        <v>540000</v>
      </c>
      <c r="H20" s="23">
        <v>1</v>
      </c>
    </row>
    <row r="21" spans="1:8" s="9" customFormat="1" ht="56.25" customHeight="1">
      <c r="A21" s="4">
        <v>17</v>
      </c>
      <c r="B21" s="3" t="s">
        <v>7</v>
      </c>
      <c r="C21" s="3" t="s">
        <v>718</v>
      </c>
      <c r="D21" s="4" t="s">
        <v>9</v>
      </c>
      <c r="E21" s="3" t="s">
        <v>812</v>
      </c>
      <c r="F21" s="3" t="s">
        <v>719</v>
      </c>
      <c r="G21" s="24">
        <v>540000</v>
      </c>
      <c r="H21" s="23">
        <v>1</v>
      </c>
    </row>
    <row r="22" spans="1:8" s="9" customFormat="1" ht="47.25" customHeight="1">
      <c r="A22" s="4">
        <v>18</v>
      </c>
      <c r="B22" s="3" t="s">
        <v>7</v>
      </c>
      <c r="C22" s="3" t="s">
        <v>742</v>
      </c>
      <c r="D22" s="4" t="s">
        <v>9</v>
      </c>
      <c r="E22" s="3" t="s">
        <v>813</v>
      </c>
      <c r="F22" s="3" t="s">
        <v>766</v>
      </c>
      <c r="G22" s="24">
        <v>540000</v>
      </c>
      <c r="H22" s="23">
        <v>1</v>
      </c>
    </row>
    <row r="23" spans="1:8" s="9" customFormat="1" ht="43.5" customHeight="1">
      <c r="A23" s="4">
        <v>19</v>
      </c>
      <c r="B23" s="10" t="s">
        <v>8</v>
      </c>
      <c r="C23" s="10" t="s">
        <v>745</v>
      </c>
      <c r="D23" s="4" t="s">
        <v>9</v>
      </c>
      <c r="E23" s="3" t="s">
        <v>813</v>
      </c>
      <c r="F23" s="3" t="s">
        <v>748</v>
      </c>
      <c r="G23" s="24">
        <v>540000</v>
      </c>
      <c r="H23" s="23">
        <v>1</v>
      </c>
    </row>
    <row r="24" spans="1:8" s="9" customFormat="1" ht="42.75" customHeight="1">
      <c r="A24" s="4">
        <v>20</v>
      </c>
      <c r="B24" s="3" t="s">
        <v>7</v>
      </c>
      <c r="C24" s="3" t="s">
        <v>744</v>
      </c>
      <c r="D24" s="4" t="s">
        <v>9</v>
      </c>
      <c r="E24" s="3" t="s">
        <v>813</v>
      </c>
      <c r="F24" s="3" t="s">
        <v>747</v>
      </c>
      <c r="G24" s="24">
        <v>540000</v>
      </c>
      <c r="H24" s="23">
        <v>1</v>
      </c>
    </row>
    <row r="25" spans="1:8" s="9" customFormat="1" ht="38.25" customHeight="1">
      <c r="A25" s="4">
        <v>21</v>
      </c>
      <c r="B25" s="3" t="s">
        <v>8</v>
      </c>
      <c r="C25" s="3" t="s">
        <v>743</v>
      </c>
      <c r="D25" s="27" t="s">
        <v>699</v>
      </c>
      <c r="E25" s="3" t="s">
        <v>813</v>
      </c>
      <c r="F25" s="3" t="s">
        <v>746</v>
      </c>
      <c r="G25" s="24">
        <v>540000</v>
      </c>
      <c r="H25" s="23">
        <v>1</v>
      </c>
    </row>
    <row r="26" spans="1:8" s="9" customFormat="1" ht="42.75" customHeight="1">
      <c r="A26" s="4">
        <v>22</v>
      </c>
      <c r="B26" s="3" t="s">
        <v>8</v>
      </c>
      <c r="C26" s="3" t="s">
        <v>723</v>
      </c>
      <c r="D26" s="4" t="s">
        <v>9</v>
      </c>
      <c r="E26" s="3" t="s">
        <v>814</v>
      </c>
      <c r="F26" s="3" t="s">
        <v>648</v>
      </c>
      <c r="G26" s="24">
        <v>540000</v>
      </c>
      <c r="H26" s="23">
        <v>1</v>
      </c>
    </row>
    <row r="27" spans="1:8" s="9" customFormat="1" ht="51" customHeight="1">
      <c r="A27" s="4">
        <v>23</v>
      </c>
      <c r="B27" s="3" t="s">
        <v>8</v>
      </c>
      <c r="C27" s="3" t="s">
        <v>698</v>
      </c>
      <c r="D27" s="4" t="s">
        <v>699</v>
      </c>
      <c r="E27" s="3" t="s">
        <v>815</v>
      </c>
      <c r="F27" s="3" t="s">
        <v>700</v>
      </c>
      <c r="G27" s="24">
        <v>540000</v>
      </c>
      <c r="H27" s="23">
        <v>1</v>
      </c>
    </row>
    <row r="28" spans="1:8" s="11" customFormat="1" ht="47.25" customHeight="1">
      <c r="A28" s="4">
        <v>24</v>
      </c>
      <c r="B28" s="3" t="s">
        <v>8</v>
      </c>
      <c r="C28" s="3" t="s">
        <v>682</v>
      </c>
      <c r="D28" s="4" t="s">
        <v>9</v>
      </c>
      <c r="E28" s="3" t="s">
        <v>816</v>
      </c>
      <c r="F28" s="3" t="s">
        <v>683</v>
      </c>
      <c r="G28" s="24">
        <v>540000</v>
      </c>
      <c r="H28" s="23">
        <v>1</v>
      </c>
    </row>
    <row r="29" spans="1:8" s="11" customFormat="1" ht="43.5" customHeight="1">
      <c r="A29" s="4">
        <v>25</v>
      </c>
      <c r="B29" s="3" t="s">
        <v>8</v>
      </c>
      <c r="C29" s="3" t="s">
        <v>688</v>
      </c>
      <c r="D29" s="4" t="s">
        <v>9</v>
      </c>
      <c r="E29" s="3" t="s">
        <v>817</v>
      </c>
      <c r="F29" s="3" t="s">
        <v>689</v>
      </c>
      <c r="G29" s="24">
        <v>540000</v>
      </c>
      <c r="H29" s="23">
        <v>1</v>
      </c>
    </row>
    <row r="30" spans="1:8" s="9" customFormat="1" ht="63" customHeight="1">
      <c r="A30" s="4">
        <v>26</v>
      </c>
      <c r="B30" s="3" t="s">
        <v>7</v>
      </c>
      <c r="C30" s="3" t="s">
        <v>184</v>
      </c>
      <c r="D30" s="4" t="s">
        <v>9</v>
      </c>
      <c r="E30" s="3" t="s">
        <v>817</v>
      </c>
      <c r="F30" s="3" t="s">
        <v>773</v>
      </c>
      <c r="G30" s="24">
        <v>540000</v>
      </c>
      <c r="H30" s="23">
        <v>1</v>
      </c>
    </row>
    <row r="31" spans="1:8" s="9" customFormat="1" ht="74.25" customHeight="1">
      <c r="A31" s="4">
        <v>27</v>
      </c>
      <c r="B31" s="3" t="s">
        <v>7</v>
      </c>
      <c r="C31" s="3" t="s">
        <v>686</v>
      </c>
      <c r="D31" s="4" t="s">
        <v>444</v>
      </c>
      <c r="E31" s="3" t="s">
        <v>817</v>
      </c>
      <c r="F31" s="3" t="s">
        <v>690</v>
      </c>
      <c r="G31" s="24">
        <v>540000</v>
      </c>
      <c r="H31" s="23">
        <v>1</v>
      </c>
    </row>
    <row r="32" spans="1:8" s="9" customFormat="1" ht="102" customHeight="1">
      <c r="A32" s="4">
        <v>28</v>
      </c>
      <c r="B32" s="3" t="s">
        <v>8</v>
      </c>
      <c r="C32" s="3" t="s">
        <v>687</v>
      </c>
      <c r="D32" s="4" t="s">
        <v>9</v>
      </c>
      <c r="E32" s="3" t="s">
        <v>817</v>
      </c>
      <c r="F32" s="3" t="s">
        <v>772</v>
      </c>
      <c r="G32" s="24">
        <v>540000</v>
      </c>
      <c r="H32" s="23">
        <v>1</v>
      </c>
    </row>
    <row r="33" spans="1:8" s="9" customFormat="1" ht="46.5" customHeight="1">
      <c r="A33" s="4">
        <v>29</v>
      </c>
      <c r="B33" s="3" t="s">
        <v>8</v>
      </c>
      <c r="C33" s="3" t="s">
        <v>433</v>
      </c>
      <c r="D33" s="4" t="s">
        <v>9</v>
      </c>
      <c r="E33" s="3" t="s">
        <v>20</v>
      </c>
      <c r="F33" s="3" t="s">
        <v>435</v>
      </c>
      <c r="G33" s="24">
        <v>540000</v>
      </c>
      <c r="H33" s="23">
        <v>1</v>
      </c>
    </row>
    <row r="34" spans="1:8" s="9" customFormat="1" ht="38.25" customHeight="1">
      <c r="A34" s="4">
        <v>30</v>
      </c>
      <c r="B34" s="3" t="s">
        <v>7</v>
      </c>
      <c r="C34" s="3" t="s">
        <v>434</v>
      </c>
      <c r="D34" s="4" t="s">
        <v>9</v>
      </c>
      <c r="E34" s="3" t="s">
        <v>20</v>
      </c>
      <c r="F34" s="3" t="s">
        <v>436</v>
      </c>
      <c r="G34" s="24">
        <v>540000</v>
      </c>
      <c r="H34" s="23">
        <v>1</v>
      </c>
    </row>
    <row r="35" spans="1:8" s="9" customFormat="1" ht="72.75" customHeight="1">
      <c r="A35" s="4">
        <v>31</v>
      </c>
      <c r="B35" s="3" t="s">
        <v>7</v>
      </c>
      <c r="C35" s="3" t="s">
        <v>353</v>
      </c>
      <c r="D35" s="4" t="s">
        <v>9</v>
      </c>
      <c r="E35" s="3" t="s">
        <v>11</v>
      </c>
      <c r="F35" s="3" t="s">
        <v>774</v>
      </c>
      <c r="G35" s="24">
        <v>540000</v>
      </c>
      <c r="H35" s="23">
        <v>1</v>
      </c>
    </row>
    <row r="36" spans="1:8" s="9" customFormat="1" ht="51" customHeight="1">
      <c r="A36" s="4">
        <v>32</v>
      </c>
      <c r="B36" s="3" t="s">
        <v>8</v>
      </c>
      <c r="C36" s="3" t="s">
        <v>355</v>
      </c>
      <c r="D36" s="4" t="s">
        <v>9</v>
      </c>
      <c r="E36" s="3" t="s">
        <v>11</v>
      </c>
      <c r="F36" s="3" t="s">
        <v>357</v>
      </c>
      <c r="G36" s="24">
        <v>540000</v>
      </c>
      <c r="H36" s="23">
        <v>1</v>
      </c>
    </row>
    <row r="37" spans="1:8" s="9" customFormat="1" ht="40.5" customHeight="1">
      <c r="A37" s="4">
        <v>33</v>
      </c>
      <c r="B37" s="3" t="s">
        <v>8</v>
      </c>
      <c r="C37" s="3" t="s">
        <v>354</v>
      </c>
      <c r="D37" s="4" t="s">
        <v>9</v>
      </c>
      <c r="E37" s="3" t="s">
        <v>11</v>
      </c>
      <c r="F37" s="3" t="s">
        <v>356</v>
      </c>
      <c r="G37" s="24">
        <v>540000</v>
      </c>
      <c r="H37" s="23">
        <v>1</v>
      </c>
    </row>
    <row r="38" spans="1:8" s="9" customFormat="1" ht="38.25" customHeight="1">
      <c r="A38" s="4">
        <v>34</v>
      </c>
      <c r="B38" s="3" t="s">
        <v>8</v>
      </c>
      <c r="C38" s="3" t="s">
        <v>661</v>
      </c>
      <c r="D38" s="4" t="s">
        <v>9</v>
      </c>
      <c r="E38" s="3" t="s">
        <v>28</v>
      </c>
      <c r="F38" s="3" t="s">
        <v>820</v>
      </c>
      <c r="G38" s="24">
        <v>540000</v>
      </c>
      <c r="H38" s="23">
        <v>1</v>
      </c>
    </row>
    <row r="39" spans="1:8" s="9" customFormat="1" ht="44.25" customHeight="1">
      <c r="A39" s="4">
        <v>35</v>
      </c>
      <c r="B39" s="3" t="s">
        <v>397</v>
      </c>
      <c r="C39" s="3" t="s">
        <v>662</v>
      </c>
      <c r="D39" s="4" t="s">
        <v>9</v>
      </c>
      <c r="E39" s="3" t="s">
        <v>28</v>
      </c>
      <c r="F39" s="3" t="s">
        <v>821</v>
      </c>
      <c r="G39" s="24">
        <v>540000</v>
      </c>
      <c r="H39" s="23">
        <v>1</v>
      </c>
    </row>
    <row r="40" spans="1:8" s="9" customFormat="1" ht="40.5" customHeight="1">
      <c r="A40" s="4">
        <v>36</v>
      </c>
      <c r="B40" s="10" t="s">
        <v>7</v>
      </c>
      <c r="C40" s="10" t="s">
        <v>663</v>
      </c>
      <c r="D40" s="4" t="s">
        <v>9</v>
      </c>
      <c r="E40" s="3" t="s">
        <v>28</v>
      </c>
      <c r="F40" s="3" t="s">
        <v>664</v>
      </c>
      <c r="G40" s="24">
        <v>540000</v>
      </c>
      <c r="H40" s="23">
        <v>1</v>
      </c>
    </row>
    <row r="41" spans="1:8" s="9" customFormat="1" ht="68.25" customHeight="1">
      <c r="A41" s="4">
        <v>37</v>
      </c>
      <c r="B41" s="3" t="s">
        <v>8</v>
      </c>
      <c r="C41" s="3" t="s">
        <v>449</v>
      </c>
      <c r="D41" s="4" t="s">
        <v>9</v>
      </c>
      <c r="E41" s="3" t="s">
        <v>23</v>
      </c>
      <c r="F41" s="3" t="s">
        <v>450</v>
      </c>
      <c r="G41" s="24">
        <v>540000</v>
      </c>
      <c r="H41" s="23">
        <v>1</v>
      </c>
    </row>
    <row r="42" spans="1:8" s="9" customFormat="1" ht="42.75" customHeight="1">
      <c r="A42" s="4">
        <v>38</v>
      </c>
      <c r="B42" s="3" t="s">
        <v>7</v>
      </c>
      <c r="C42" s="3" t="s">
        <v>455</v>
      </c>
      <c r="D42" s="4" t="s">
        <v>9</v>
      </c>
      <c r="E42" s="3" t="s">
        <v>24</v>
      </c>
      <c r="F42" s="3" t="s">
        <v>328</v>
      </c>
      <c r="G42" s="24">
        <v>540000</v>
      </c>
      <c r="H42" s="23">
        <v>1</v>
      </c>
    </row>
    <row r="43" spans="1:8" s="9" customFormat="1" ht="51" customHeight="1">
      <c r="A43" s="4">
        <v>39</v>
      </c>
      <c r="B43" s="3" t="s">
        <v>7</v>
      </c>
      <c r="C43" s="3" t="s">
        <v>456</v>
      </c>
      <c r="D43" s="4" t="s">
        <v>9</v>
      </c>
      <c r="E43" s="3" t="s">
        <v>24</v>
      </c>
      <c r="F43" s="3" t="s">
        <v>459</v>
      </c>
      <c r="G43" s="24">
        <v>540000</v>
      </c>
      <c r="H43" s="23">
        <v>1</v>
      </c>
    </row>
    <row r="44" spans="1:8" s="9" customFormat="1" ht="60.75" customHeight="1">
      <c r="A44" s="4">
        <v>40</v>
      </c>
      <c r="B44" s="3" t="s">
        <v>8</v>
      </c>
      <c r="C44" s="3" t="s">
        <v>458</v>
      </c>
      <c r="D44" s="4" t="s">
        <v>9</v>
      </c>
      <c r="E44" s="3" t="s">
        <v>24</v>
      </c>
      <c r="F44" s="3" t="s">
        <v>461</v>
      </c>
      <c r="G44" s="24">
        <v>540000</v>
      </c>
      <c r="H44" s="23">
        <v>1</v>
      </c>
    </row>
    <row r="45" spans="1:8" s="9" customFormat="1" ht="45" customHeight="1">
      <c r="A45" s="4">
        <v>41</v>
      </c>
      <c r="B45" s="3" t="s">
        <v>8</v>
      </c>
      <c r="C45" s="3" t="s">
        <v>457</v>
      </c>
      <c r="D45" s="4" t="s">
        <v>9</v>
      </c>
      <c r="E45" s="3" t="s">
        <v>24</v>
      </c>
      <c r="F45" s="3" t="s">
        <v>460</v>
      </c>
      <c r="G45" s="24">
        <v>540000</v>
      </c>
      <c r="H45" s="23">
        <v>1</v>
      </c>
    </row>
    <row r="46" spans="1:8" s="9" customFormat="1" ht="41.25" customHeight="1">
      <c r="A46" s="4">
        <v>42</v>
      </c>
      <c r="B46" s="3" t="s">
        <v>8</v>
      </c>
      <c r="C46" s="3" t="s">
        <v>622</v>
      </c>
      <c r="D46" s="4" t="s">
        <v>9</v>
      </c>
      <c r="E46" s="3" t="s">
        <v>26</v>
      </c>
      <c r="F46" s="3" t="s">
        <v>628</v>
      </c>
      <c r="G46" s="24">
        <v>540000</v>
      </c>
      <c r="H46" s="23">
        <v>1</v>
      </c>
    </row>
    <row r="47" spans="1:8" s="9" customFormat="1" ht="66.75" customHeight="1">
      <c r="A47" s="4">
        <v>43</v>
      </c>
      <c r="B47" s="3" t="s">
        <v>7</v>
      </c>
      <c r="C47" s="3" t="s">
        <v>624</v>
      </c>
      <c r="D47" s="4" t="s">
        <v>9</v>
      </c>
      <c r="E47" s="3" t="s">
        <v>26</v>
      </c>
      <c r="F47" s="3" t="s">
        <v>630</v>
      </c>
      <c r="G47" s="24">
        <v>540000</v>
      </c>
      <c r="H47" s="23">
        <v>1</v>
      </c>
    </row>
    <row r="48" spans="1:8" s="9" customFormat="1" ht="51" customHeight="1">
      <c r="A48" s="4">
        <v>44</v>
      </c>
      <c r="B48" s="3" t="s">
        <v>7</v>
      </c>
      <c r="C48" s="3" t="s">
        <v>620</v>
      </c>
      <c r="D48" s="4" t="s">
        <v>9</v>
      </c>
      <c r="E48" s="3" t="s">
        <v>26</v>
      </c>
      <c r="F48" s="3" t="s">
        <v>626</v>
      </c>
      <c r="G48" s="24">
        <v>540000</v>
      </c>
      <c r="H48" s="23">
        <v>1</v>
      </c>
    </row>
    <row r="49" spans="1:8" s="9" customFormat="1" ht="51" customHeight="1">
      <c r="A49" s="4">
        <v>45</v>
      </c>
      <c r="B49" s="3" t="s">
        <v>7</v>
      </c>
      <c r="C49" s="3" t="s">
        <v>623</v>
      </c>
      <c r="D49" s="4" t="s">
        <v>9</v>
      </c>
      <c r="E49" s="3" t="s">
        <v>26</v>
      </c>
      <c r="F49" s="3" t="s">
        <v>629</v>
      </c>
      <c r="G49" s="24">
        <v>540000</v>
      </c>
      <c r="H49" s="23">
        <v>1</v>
      </c>
    </row>
    <row r="50" spans="1:8" s="9" customFormat="1" ht="54.75" customHeight="1">
      <c r="A50" s="4">
        <v>46</v>
      </c>
      <c r="B50" s="3" t="s">
        <v>7</v>
      </c>
      <c r="C50" s="3" t="s">
        <v>621</v>
      </c>
      <c r="D50" s="4" t="s">
        <v>9</v>
      </c>
      <c r="E50" s="3" t="s">
        <v>26</v>
      </c>
      <c r="F50" s="3" t="s">
        <v>627</v>
      </c>
      <c r="G50" s="24">
        <v>540000</v>
      </c>
      <c r="H50" s="23">
        <v>1</v>
      </c>
    </row>
    <row r="51" spans="1:8" s="9" customFormat="1" ht="45" customHeight="1">
      <c r="A51" s="4">
        <v>47</v>
      </c>
      <c r="B51" s="3" t="s">
        <v>8</v>
      </c>
      <c r="C51" s="3" t="s">
        <v>625</v>
      </c>
      <c r="D51" s="4" t="s">
        <v>9</v>
      </c>
      <c r="E51" s="3" t="s">
        <v>26</v>
      </c>
      <c r="F51" s="3" t="s">
        <v>631</v>
      </c>
      <c r="G51" s="24">
        <v>540000</v>
      </c>
      <c r="H51" s="23">
        <v>1</v>
      </c>
    </row>
    <row r="52" spans="1:8" s="9" customFormat="1" ht="60.75" customHeight="1">
      <c r="A52" s="4">
        <v>48</v>
      </c>
      <c r="B52" s="3" t="s">
        <v>7</v>
      </c>
      <c r="C52" s="3" t="s">
        <v>364</v>
      </c>
      <c r="D52" s="4" t="s">
        <v>9</v>
      </c>
      <c r="E52" s="3" t="s">
        <v>365</v>
      </c>
      <c r="F52" s="3" t="s">
        <v>770</v>
      </c>
      <c r="G52" s="24">
        <v>540000</v>
      </c>
      <c r="H52" s="23">
        <v>1</v>
      </c>
    </row>
    <row r="53" spans="1:8" s="9" customFormat="1" ht="47.25" customHeight="1">
      <c r="A53" s="4">
        <v>49</v>
      </c>
      <c r="B53" s="3" t="s">
        <v>8</v>
      </c>
      <c r="C53" s="3" t="s">
        <v>371</v>
      </c>
      <c r="D53" s="4" t="s">
        <v>9</v>
      </c>
      <c r="E53" s="3" t="s">
        <v>13</v>
      </c>
      <c r="F53" s="3" t="s">
        <v>374</v>
      </c>
      <c r="G53" s="24">
        <v>540000</v>
      </c>
      <c r="H53" s="23">
        <v>1</v>
      </c>
    </row>
    <row r="54" spans="1:8" s="9" customFormat="1" ht="46.5" customHeight="1">
      <c r="A54" s="4">
        <v>50</v>
      </c>
      <c r="B54" s="3" t="s">
        <v>7</v>
      </c>
      <c r="C54" s="3" t="s">
        <v>788</v>
      </c>
      <c r="D54" s="4" t="s">
        <v>372</v>
      </c>
      <c r="E54" s="3" t="s">
        <v>13</v>
      </c>
      <c r="F54" s="3" t="s">
        <v>375</v>
      </c>
      <c r="G54" s="24">
        <v>540000</v>
      </c>
      <c r="H54" s="23">
        <v>1</v>
      </c>
    </row>
    <row r="55" spans="1:8" s="9" customFormat="1" ht="51" customHeight="1">
      <c r="A55" s="4">
        <v>51</v>
      </c>
      <c r="B55" s="3" t="s">
        <v>7</v>
      </c>
      <c r="C55" s="3" t="s">
        <v>789</v>
      </c>
      <c r="D55" s="4" t="s">
        <v>9</v>
      </c>
      <c r="E55" s="3" t="s">
        <v>13</v>
      </c>
      <c r="F55" s="3" t="s">
        <v>373</v>
      </c>
      <c r="G55" s="24">
        <v>540000</v>
      </c>
      <c r="H55" s="23">
        <v>1</v>
      </c>
    </row>
    <row r="56" spans="1:8" s="9" customFormat="1" ht="51" customHeight="1">
      <c r="A56" s="4">
        <v>52</v>
      </c>
      <c r="B56" s="3" t="s">
        <v>491</v>
      </c>
      <c r="C56" s="3" t="s">
        <v>481</v>
      </c>
      <c r="D56" s="4" t="s">
        <v>9</v>
      </c>
      <c r="E56" s="3" t="s">
        <v>21</v>
      </c>
      <c r="F56" s="3" t="s">
        <v>824</v>
      </c>
      <c r="G56" s="24">
        <v>540000</v>
      </c>
      <c r="H56" s="23">
        <v>1</v>
      </c>
    </row>
    <row r="57" spans="1:8" s="9" customFormat="1" ht="66.75" customHeight="1">
      <c r="A57" s="4">
        <v>53</v>
      </c>
      <c r="B57" s="3" t="s">
        <v>8</v>
      </c>
      <c r="C57" s="3" t="s">
        <v>475</v>
      </c>
      <c r="D57" s="4" t="s">
        <v>486</v>
      </c>
      <c r="E57" s="3" t="s">
        <v>21</v>
      </c>
      <c r="F57" s="3" t="s">
        <v>496</v>
      </c>
      <c r="G57" s="24">
        <v>540000</v>
      </c>
      <c r="H57" s="23">
        <v>1</v>
      </c>
    </row>
    <row r="58" spans="1:8" s="9" customFormat="1" ht="51" customHeight="1">
      <c r="A58" s="4">
        <v>54</v>
      </c>
      <c r="B58" s="3" t="s">
        <v>7</v>
      </c>
      <c r="C58" s="10" t="s">
        <v>484</v>
      </c>
      <c r="D58" s="21" t="s">
        <v>492</v>
      </c>
      <c r="E58" s="3" t="s">
        <v>21</v>
      </c>
      <c r="F58" s="3" t="s">
        <v>825</v>
      </c>
      <c r="G58" s="24">
        <v>540000</v>
      </c>
      <c r="H58" s="23">
        <v>1</v>
      </c>
    </row>
    <row r="59" spans="1:8" s="9" customFormat="1" ht="52.5" customHeight="1">
      <c r="A59" s="4">
        <v>55</v>
      </c>
      <c r="B59" s="3" t="s">
        <v>8</v>
      </c>
      <c r="C59" s="3" t="s">
        <v>470</v>
      </c>
      <c r="D59" s="4" t="s">
        <v>9</v>
      </c>
      <c r="E59" s="3" t="s">
        <v>21</v>
      </c>
      <c r="F59" s="3" t="s">
        <v>489</v>
      </c>
      <c r="G59" s="24">
        <v>540000</v>
      </c>
      <c r="H59" s="23">
        <v>1</v>
      </c>
    </row>
    <row r="60" spans="1:8" s="9" customFormat="1" ht="51" customHeight="1">
      <c r="A60" s="4">
        <v>56</v>
      </c>
      <c r="B60" s="3" t="s">
        <v>8</v>
      </c>
      <c r="C60" s="3" t="s">
        <v>476</v>
      </c>
      <c r="D60" s="4" t="s">
        <v>9</v>
      </c>
      <c r="E60" s="3" t="s">
        <v>21</v>
      </c>
      <c r="F60" s="3" t="s">
        <v>819</v>
      </c>
      <c r="G60" s="24">
        <v>540000</v>
      </c>
      <c r="H60" s="23">
        <v>1</v>
      </c>
    </row>
    <row r="61" spans="1:10" s="9" customFormat="1" ht="51" customHeight="1">
      <c r="A61" s="4">
        <v>57</v>
      </c>
      <c r="B61" s="3" t="s">
        <v>8</v>
      </c>
      <c r="C61" s="3" t="s">
        <v>477</v>
      </c>
      <c r="D61" s="4" t="s">
        <v>9</v>
      </c>
      <c r="E61" s="3" t="s">
        <v>21</v>
      </c>
      <c r="F61" s="3" t="s">
        <v>826</v>
      </c>
      <c r="G61" s="24">
        <v>540000</v>
      </c>
      <c r="H61" s="28">
        <v>1</v>
      </c>
      <c r="I61" s="29"/>
      <c r="J61" s="29"/>
    </row>
    <row r="62" spans="1:8" s="9" customFormat="1" ht="51" customHeight="1">
      <c r="A62" s="4">
        <v>58</v>
      </c>
      <c r="B62" s="3" t="s">
        <v>8</v>
      </c>
      <c r="C62" s="3" t="s">
        <v>386</v>
      </c>
      <c r="D62" s="4" t="s">
        <v>9</v>
      </c>
      <c r="E62" s="3" t="s">
        <v>21</v>
      </c>
      <c r="F62" s="3" t="s">
        <v>497</v>
      </c>
      <c r="G62" s="24">
        <v>540000</v>
      </c>
      <c r="H62" s="23">
        <v>1</v>
      </c>
    </row>
    <row r="63" spans="1:8" s="9" customFormat="1" ht="54" customHeight="1">
      <c r="A63" s="4">
        <v>59</v>
      </c>
      <c r="B63" s="3" t="s">
        <v>8</v>
      </c>
      <c r="C63" s="3" t="s">
        <v>474</v>
      </c>
      <c r="D63" s="4" t="s">
        <v>193</v>
      </c>
      <c r="E63" s="3" t="s">
        <v>21</v>
      </c>
      <c r="F63" s="3" t="s">
        <v>495</v>
      </c>
      <c r="G63" s="24">
        <v>540000</v>
      </c>
      <c r="H63" s="23">
        <v>1</v>
      </c>
    </row>
    <row r="64" spans="1:8" s="9" customFormat="1" ht="51" customHeight="1">
      <c r="A64" s="4">
        <v>60</v>
      </c>
      <c r="B64" s="3" t="s">
        <v>8</v>
      </c>
      <c r="C64" s="3" t="s">
        <v>425</v>
      </c>
      <c r="D64" s="4" t="s">
        <v>9</v>
      </c>
      <c r="E64" s="3" t="s">
        <v>21</v>
      </c>
      <c r="F64" s="3" t="s">
        <v>490</v>
      </c>
      <c r="G64" s="24">
        <v>540000</v>
      </c>
      <c r="H64" s="23">
        <v>1</v>
      </c>
    </row>
    <row r="65" spans="1:8" s="9" customFormat="1" ht="51" customHeight="1">
      <c r="A65" s="4">
        <v>61</v>
      </c>
      <c r="B65" s="3" t="s">
        <v>8</v>
      </c>
      <c r="C65" s="3" t="s">
        <v>483</v>
      </c>
      <c r="D65" s="4" t="s">
        <v>9</v>
      </c>
      <c r="E65" s="3" t="s">
        <v>21</v>
      </c>
      <c r="F65" s="3" t="s">
        <v>488</v>
      </c>
      <c r="G65" s="24">
        <v>540000</v>
      </c>
      <c r="H65" s="23">
        <v>1</v>
      </c>
    </row>
    <row r="66" spans="1:8" s="9" customFormat="1" ht="51" customHeight="1">
      <c r="A66" s="4">
        <v>62</v>
      </c>
      <c r="B66" s="3" t="s">
        <v>7</v>
      </c>
      <c r="C66" s="3" t="s">
        <v>493</v>
      </c>
      <c r="D66" s="4" t="s">
        <v>9</v>
      </c>
      <c r="E66" s="3" t="s">
        <v>21</v>
      </c>
      <c r="F66" s="3" t="s">
        <v>500</v>
      </c>
      <c r="G66" s="24">
        <v>540000</v>
      </c>
      <c r="H66" s="23">
        <v>1</v>
      </c>
    </row>
    <row r="67" spans="1:8" s="9" customFormat="1" ht="46.5" customHeight="1">
      <c r="A67" s="4">
        <v>63</v>
      </c>
      <c r="B67" s="3" t="s">
        <v>8</v>
      </c>
      <c r="C67" s="3" t="s">
        <v>479</v>
      </c>
      <c r="D67" s="4" t="s">
        <v>193</v>
      </c>
      <c r="E67" s="3" t="s">
        <v>21</v>
      </c>
      <c r="F67" s="3" t="s">
        <v>487</v>
      </c>
      <c r="G67" s="24">
        <v>540000</v>
      </c>
      <c r="H67" s="23">
        <v>1</v>
      </c>
    </row>
    <row r="68" spans="1:8" s="9" customFormat="1" ht="51" customHeight="1">
      <c r="A68" s="4">
        <v>64</v>
      </c>
      <c r="B68" s="3" t="s">
        <v>8</v>
      </c>
      <c r="C68" s="3" t="s">
        <v>478</v>
      </c>
      <c r="D68" s="4" t="s">
        <v>9</v>
      </c>
      <c r="E68" s="3" t="s">
        <v>21</v>
      </c>
      <c r="F68" s="3" t="s">
        <v>790</v>
      </c>
      <c r="G68" s="24">
        <v>540000</v>
      </c>
      <c r="H68" s="23">
        <v>1</v>
      </c>
    </row>
    <row r="69" spans="1:8" s="9" customFormat="1" ht="51" customHeight="1">
      <c r="A69" s="4">
        <v>65</v>
      </c>
      <c r="B69" s="3" t="s">
        <v>473</v>
      </c>
      <c r="C69" s="3" t="s">
        <v>472</v>
      </c>
      <c r="D69" s="4" t="s">
        <v>9</v>
      </c>
      <c r="E69" s="3" t="s">
        <v>21</v>
      </c>
      <c r="F69" s="3" t="s">
        <v>494</v>
      </c>
      <c r="G69" s="24">
        <v>540000</v>
      </c>
      <c r="H69" s="23">
        <v>1</v>
      </c>
    </row>
    <row r="70" spans="1:8" s="9" customFormat="1" ht="96.75" customHeight="1">
      <c r="A70" s="4">
        <v>66</v>
      </c>
      <c r="B70" s="3" t="s">
        <v>8</v>
      </c>
      <c r="C70" s="3" t="s">
        <v>471</v>
      </c>
      <c r="D70" s="4" t="s">
        <v>9</v>
      </c>
      <c r="E70" s="3" t="s">
        <v>21</v>
      </c>
      <c r="F70" s="3" t="s">
        <v>776</v>
      </c>
      <c r="G70" s="24">
        <v>540000</v>
      </c>
      <c r="H70" s="23">
        <v>1</v>
      </c>
    </row>
    <row r="71" spans="1:8" s="9" customFormat="1" ht="45" customHeight="1">
      <c r="A71" s="4">
        <v>67</v>
      </c>
      <c r="B71" s="3" t="s">
        <v>8</v>
      </c>
      <c r="C71" s="3" t="s">
        <v>482</v>
      </c>
      <c r="D71" s="4" t="s">
        <v>9</v>
      </c>
      <c r="E71" s="3" t="s">
        <v>21</v>
      </c>
      <c r="F71" s="3" t="s">
        <v>499</v>
      </c>
      <c r="G71" s="24">
        <v>540000</v>
      </c>
      <c r="H71" s="23">
        <v>1</v>
      </c>
    </row>
    <row r="72" spans="1:8" s="9" customFormat="1" ht="44.25" customHeight="1">
      <c r="A72" s="4">
        <v>68</v>
      </c>
      <c r="B72" s="3" t="s">
        <v>7</v>
      </c>
      <c r="C72" s="3" t="s">
        <v>480</v>
      </c>
      <c r="D72" s="4" t="s">
        <v>486</v>
      </c>
      <c r="E72" s="3" t="s">
        <v>21</v>
      </c>
      <c r="F72" s="3" t="s">
        <v>498</v>
      </c>
      <c r="G72" s="24">
        <v>540000</v>
      </c>
      <c r="H72" s="23">
        <v>1</v>
      </c>
    </row>
    <row r="73" spans="1:8" s="9" customFormat="1" ht="51.75" customHeight="1">
      <c r="A73" s="4">
        <v>69</v>
      </c>
      <c r="B73" s="3" t="s">
        <v>7</v>
      </c>
      <c r="C73" s="3" t="s">
        <v>485</v>
      </c>
      <c r="D73" s="4" t="s">
        <v>9</v>
      </c>
      <c r="E73" s="17" t="s">
        <v>21</v>
      </c>
      <c r="F73" s="3" t="s">
        <v>501</v>
      </c>
      <c r="G73" s="24">
        <v>540000</v>
      </c>
      <c r="H73" s="23">
        <v>1</v>
      </c>
    </row>
    <row r="74" spans="1:8" s="9" customFormat="1" ht="46.5" customHeight="1">
      <c r="A74" s="4">
        <v>70</v>
      </c>
      <c r="B74" s="3" t="s">
        <v>7</v>
      </c>
      <c r="C74" s="3" t="s">
        <v>440</v>
      </c>
      <c r="D74" s="4" t="s">
        <v>9</v>
      </c>
      <c r="E74" s="3" t="s">
        <v>22</v>
      </c>
      <c r="F74" s="3" t="s">
        <v>443</v>
      </c>
      <c r="G74" s="24">
        <v>540000</v>
      </c>
      <c r="H74" s="23">
        <v>1</v>
      </c>
    </row>
    <row r="75" spans="1:8" s="9" customFormat="1" ht="51.75" customHeight="1">
      <c r="A75" s="4">
        <v>71</v>
      </c>
      <c r="B75" s="3" t="s">
        <v>7</v>
      </c>
      <c r="C75" s="3" t="s">
        <v>441</v>
      </c>
      <c r="D75" s="4" t="s">
        <v>444</v>
      </c>
      <c r="E75" s="3" t="s">
        <v>22</v>
      </c>
      <c r="F75" s="3" t="s">
        <v>445</v>
      </c>
      <c r="G75" s="24">
        <v>540000</v>
      </c>
      <c r="H75" s="23">
        <v>1</v>
      </c>
    </row>
    <row r="76" spans="1:8" s="9" customFormat="1" ht="51" customHeight="1">
      <c r="A76" s="4">
        <v>72</v>
      </c>
      <c r="B76" s="3" t="s">
        <v>7</v>
      </c>
      <c r="C76" s="3" t="s">
        <v>442</v>
      </c>
      <c r="D76" s="4" t="s">
        <v>9</v>
      </c>
      <c r="E76" s="3" t="s">
        <v>22</v>
      </c>
      <c r="F76" s="3" t="s">
        <v>357</v>
      </c>
      <c r="G76" s="24">
        <v>540000</v>
      </c>
      <c r="H76" s="23">
        <v>1</v>
      </c>
    </row>
    <row r="77" spans="1:8" s="9" customFormat="1" ht="45" customHeight="1">
      <c r="A77" s="4">
        <v>73</v>
      </c>
      <c r="B77" s="3" t="s">
        <v>7</v>
      </c>
      <c r="C77" s="3" t="s">
        <v>642</v>
      </c>
      <c r="D77" s="4" t="s">
        <v>9</v>
      </c>
      <c r="E77" s="3" t="s">
        <v>27</v>
      </c>
      <c r="F77" s="3" t="s">
        <v>647</v>
      </c>
      <c r="G77" s="24">
        <v>540000</v>
      </c>
      <c r="H77" s="23">
        <v>1</v>
      </c>
    </row>
    <row r="78" spans="1:8" s="9" customFormat="1" ht="44.25" customHeight="1">
      <c r="A78" s="4">
        <v>74</v>
      </c>
      <c r="B78" s="3" t="s">
        <v>7</v>
      </c>
      <c r="C78" s="3" t="s">
        <v>643</v>
      </c>
      <c r="D78" s="4" t="s">
        <v>9</v>
      </c>
      <c r="E78" s="3" t="s">
        <v>27</v>
      </c>
      <c r="F78" s="3" t="s">
        <v>648</v>
      </c>
      <c r="G78" s="24">
        <v>540000</v>
      </c>
      <c r="H78" s="23">
        <v>1</v>
      </c>
    </row>
    <row r="79" spans="1:8" s="9" customFormat="1" ht="42.75" customHeight="1">
      <c r="A79" s="4">
        <v>75</v>
      </c>
      <c r="B79" s="3" t="s">
        <v>8</v>
      </c>
      <c r="C79" s="3" t="s">
        <v>641</v>
      </c>
      <c r="D79" s="4" t="s">
        <v>9</v>
      </c>
      <c r="E79" s="3" t="s">
        <v>27</v>
      </c>
      <c r="F79" s="3" t="s">
        <v>646</v>
      </c>
      <c r="G79" s="24">
        <v>540000</v>
      </c>
      <c r="H79" s="23">
        <v>1</v>
      </c>
    </row>
    <row r="80" spans="1:8" s="9" customFormat="1" ht="53.25" customHeight="1">
      <c r="A80" s="4">
        <v>76</v>
      </c>
      <c r="B80" s="3" t="s">
        <v>8</v>
      </c>
      <c r="C80" s="3" t="s">
        <v>644</v>
      </c>
      <c r="D80" s="4" t="s">
        <v>9</v>
      </c>
      <c r="E80" s="3" t="s">
        <v>27</v>
      </c>
      <c r="F80" s="3" t="s">
        <v>649</v>
      </c>
      <c r="G80" s="24">
        <v>540000</v>
      </c>
      <c r="H80" s="23">
        <v>1</v>
      </c>
    </row>
    <row r="81" spans="1:8" s="9" customFormat="1" ht="55.5" customHeight="1">
      <c r="A81" s="4">
        <v>77</v>
      </c>
      <c r="B81" s="3" t="s">
        <v>8</v>
      </c>
      <c r="C81" s="3" t="s">
        <v>645</v>
      </c>
      <c r="D81" s="4" t="s">
        <v>9</v>
      </c>
      <c r="E81" s="3" t="s">
        <v>27</v>
      </c>
      <c r="F81" s="3" t="s">
        <v>650</v>
      </c>
      <c r="G81" s="24">
        <v>540000</v>
      </c>
      <c r="H81" s="23">
        <v>1</v>
      </c>
    </row>
    <row r="82" spans="1:8" s="9" customFormat="1" ht="84" customHeight="1">
      <c r="A82" s="4">
        <v>78</v>
      </c>
      <c r="B82" s="3" t="s">
        <v>8</v>
      </c>
      <c r="C82" s="3" t="s">
        <v>640</v>
      </c>
      <c r="D82" s="4" t="s">
        <v>9</v>
      </c>
      <c r="E82" s="3" t="s">
        <v>27</v>
      </c>
      <c r="F82" s="3" t="s">
        <v>775</v>
      </c>
      <c r="G82" s="24">
        <v>540000</v>
      </c>
      <c r="H82" s="23">
        <v>1</v>
      </c>
    </row>
    <row r="83" spans="1:8" s="9" customFormat="1" ht="51" customHeight="1">
      <c r="A83" s="4">
        <v>79</v>
      </c>
      <c r="B83" s="3" t="s">
        <v>8</v>
      </c>
      <c r="C83" s="3" t="s">
        <v>424</v>
      </c>
      <c r="D83" s="4" t="s">
        <v>9</v>
      </c>
      <c r="E83" s="3" t="s">
        <v>19</v>
      </c>
      <c r="F83" s="3" t="s">
        <v>427</v>
      </c>
      <c r="G83" s="24">
        <v>540000</v>
      </c>
      <c r="H83" s="23">
        <v>1</v>
      </c>
    </row>
    <row r="84" spans="1:8" s="9" customFormat="1" ht="51" customHeight="1">
      <c r="A84" s="4">
        <v>80</v>
      </c>
      <c r="B84" s="3" t="s">
        <v>8</v>
      </c>
      <c r="C84" s="3" t="s">
        <v>423</v>
      </c>
      <c r="D84" s="4" t="s">
        <v>9</v>
      </c>
      <c r="E84" s="3" t="s">
        <v>19</v>
      </c>
      <c r="F84" s="3" t="s">
        <v>426</v>
      </c>
      <c r="G84" s="24">
        <v>540000</v>
      </c>
      <c r="H84" s="23">
        <v>1</v>
      </c>
    </row>
    <row r="85" spans="1:8" s="9" customFormat="1" ht="44.25" customHeight="1">
      <c r="A85" s="4">
        <v>81</v>
      </c>
      <c r="B85" s="10" t="s">
        <v>8</v>
      </c>
      <c r="C85" s="10" t="s">
        <v>387</v>
      </c>
      <c r="D85" s="4" t="s">
        <v>9</v>
      </c>
      <c r="E85" s="3" t="s">
        <v>17</v>
      </c>
      <c r="F85" s="3" t="s">
        <v>356</v>
      </c>
      <c r="G85" s="24">
        <v>540000</v>
      </c>
      <c r="H85" s="23">
        <v>1</v>
      </c>
    </row>
    <row r="86" spans="1:8" s="9" customFormat="1" ht="42.75" customHeight="1">
      <c r="A86" s="4">
        <v>82</v>
      </c>
      <c r="B86" s="10" t="s">
        <v>8</v>
      </c>
      <c r="C86" s="10" t="s">
        <v>388</v>
      </c>
      <c r="D86" s="4" t="s">
        <v>389</v>
      </c>
      <c r="E86" s="3" t="s">
        <v>17</v>
      </c>
      <c r="F86" s="3" t="s">
        <v>357</v>
      </c>
      <c r="G86" s="24">
        <v>540000</v>
      </c>
      <c r="H86" s="23">
        <v>1</v>
      </c>
    </row>
    <row r="87" spans="1:8" s="9" customFormat="1" ht="46.5" customHeight="1">
      <c r="A87" s="4">
        <v>83</v>
      </c>
      <c r="B87" s="10" t="s">
        <v>397</v>
      </c>
      <c r="C87" s="10" t="s">
        <v>552</v>
      </c>
      <c r="D87" s="21" t="s">
        <v>9</v>
      </c>
      <c r="E87" s="3" t="s">
        <v>25</v>
      </c>
      <c r="F87" s="3" t="s">
        <v>553</v>
      </c>
      <c r="G87" s="24">
        <v>540000</v>
      </c>
      <c r="H87" s="23">
        <v>1</v>
      </c>
    </row>
    <row r="88" spans="1:8" s="9" customFormat="1" ht="61.5" customHeight="1">
      <c r="A88" s="4">
        <v>84</v>
      </c>
      <c r="B88" s="3" t="s">
        <v>8</v>
      </c>
      <c r="C88" s="3" t="s">
        <v>551</v>
      </c>
      <c r="D88" s="4" t="s">
        <v>9</v>
      </c>
      <c r="E88" s="3" t="s">
        <v>25</v>
      </c>
      <c r="F88" s="3" t="s">
        <v>777</v>
      </c>
      <c r="G88" s="24">
        <v>540000</v>
      </c>
      <c r="H88" s="23">
        <v>1</v>
      </c>
    </row>
    <row r="89" spans="1:8" s="9" customFormat="1" ht="71.25" customHeight="1">
      <c r="A89" s="4">
        <v>85</v>
      </c>
      <c r="B89" s="3" t="s">
        <v>7</v>
      </c>
      <c r="C89" s="3" t="s">
        <v>561</v>
      </c>
      <c r="D89" s="4" t="s">
        <v>9</v>
      </c>
      <c r="E89" s="3" t="s">
        <v>557</v>
      </c>
      <c r="F89" s="3" t="s">
        <v>574</v>
      </c>
      <c r="G89" s="24">
        <v>540000</v>
      </c>
      <c r="H89" s="23">
        <v>1</v>
      </c>
    </row>
    <row r="90" spans="1:8" s="9" customFormat="1" ht="61.5" customHeight="1">
      <c r="A90" s="4">
        <v>86</v>
      </c>
      <c r="B90" s="3" t="s">
        <v>491</v>
      </c>
      <c r="C90" s="3" t="s">
        <v>560</v>
      </c>
      <c r="D90" s="4" t="s">
        <v>9</v>
      </c>
      <c r="E90" s="3" t="s">
        <v>557</v>
      </c>
      <c r="F90" s="3" t="s">
        <v>580</v>
      </c>
      <c r="G90" s="24">
        <v>540000</v>
      </c>
      <c r="H90" s="23">
        <v>1</v>
      </c>
    </row>
    <row r="91" spans="1:8" s="9" customFormat="1" ht="47.25" customHeight="1">
      <c r="A91" s="4">
        <v>87</v>
      </c>
      <c r="B91" s="3" t="s">
        <v>8</v>
      </c>
      <c r="C91" s="3" t="s">
        <v>565</v>
      </c>
      <c r="D91" s="4" t="s">
        <v>9</v>
      </c>
      <c r="E91" s="3" t="s">
        <v>557</v>
      </c>
      <c r="F91" s="3" t="s">
        <v>577</v>
      </c>
      <c r="G91" s="24">
        <v>540000</v>
      </c>
      <c r="H91" s="23">
        <v>1</v>
      </c>
    </row>
    <row r="92" spans="1:8" s="9" customFormat="1" ht="36" customHeight="1">
      <c r="A92" s="4">
        <v>88</v>
      </c>
      <c r="B92" s="3" t="s">
        <v>8</v>
      </c>
      <c r="C92" s="3" t="s">
        <v>566</v>
      </c>
      <c r="D92" s="4" t="s">
        <v>9</v>
      </c>
      <c r="E92" s="3" t="s">
        <v>557</v>
      </c>
      <c r="F92" s="3" t="s">
        <v>577</v>
      </c>
      <c r="G92" s="24">
        <v>540000</v>
      </c>
      <c r="H92" s="23">
        <v>1</v>
      </c>
    </row>
    <row r="93" spans="1:8" s="9" customFormat="1" ht="40.5" customHeight="1">
      <c r="A93" s="4">
        <v>89</v>
      </c>
      <c r="B93" s="3" t="s">
        <v>8</v>
      </c>
      <c r="C93" s="3" t="s">
        <v>564</v>
      </c>
      <c r="D93" s="4" t="s">
        <v>9</v>
      </c>
      <c r="E93" s="3" t="s">
        <v>557</v>
      </c>
      <c r="F93" s="3" t="s">
        <v>822</v>
      </c>
      <c r="G93" s="24">
        <v>540000</v>
      </c>
      <c r="H93" s="23">
        <v>1</v>
      </c>
    </row>
    <row r="94" spans="1:8" s="9" customFormat="1" ht="101.25" customHeight="1">
      <c r="A94" s="4">
        <v>90</v>
      </c>
      <c r="B94" s="3" t="s">
        <v>7</v>
      </c>
      <c r="C94" s="3" t="s">
        <v>562</v>
      </c>
      <c r="D94" s="4" t="s">
        <v>575</v>
      </c>
      <c r="E94" s="3" t="s">
        <v>557</v>
      </c>
      <c r="F94" s="3" t="s">
        <v>782</v>
      </c>
      <c r="G94" s="24">
        <v>540000</v>
      </c>
      <c r="H94" s="23">
        <v>1</v>
      </c>
    </row>
    <row r="95" spans="1:8" s="9" customFormat="1" ht="74.25" customHeight="1">
      <c r="A95" s="4">
        <v>91</v>
      </c>
      <c r="B95" s="3" t="s">
        <v>7</v>
      </c>
      <c r="C95" s="3" t="s">
        <v>559</v>
      </c>
      <c r="D95" s="4" t="s">
        <v>573</v>
      </c>
      <c r="E95" s="3" t="s">
        <v>557</v>
      </c>
      <c r="F95" s="3" t="s">
        <v>580</v>
      </c>
      <c r="G95" s="24">
        <v>540000</v>
      </c>
      <c r="H95" s="23">
        <v>1</v>
      </c>
    </row>
    <row r="96" spans="1:8" s="9" customFormat="1" ht="81.75" customHeight="1">
      <c r="A96" s="4">
        <v>92</v>
      </c>
      <c r="B96" s="3" t="s">
        <v>8</v>
      </c>
      <c r="C96" s="3" t="s">
        <v>567</v>
      </c>
      <c r="D96" s="4" t="s">
        <v>9</v>
      </c>
      <c r="E96" s="3" t="s">
        <v>557</v>
      </c>
      <c r="F96" s="3" t="s">
        <v>783</v>
      </c>
      <c r="G96" s="24">
        <v>540000</v>
      </c>
      <c r="H96" s="23">
        <v>1</v>
      </c>
    </row>
    <row r="97" spans="1:8" s="9" customFormat="1" ht="63.75" customHeight="1">
      <c r="A97" s="4">
        <v>93</v>
      </c>
      <c r="B97" s="3" t="s">
        <v>8</v>
      </c>
      <c r="C97" s="3" t="s">
        <v>558</v>
      </c>
      <c r="D97" s="4" t="s">
        <v>572</v>
      </c>
      <c r="E97" s="3" t="s">
        <v>557</v>
      </c>
      <c r="F97" s="3" t="s">
        <v>579</v>
      </c>
      <c r="G97" s="24">
        <v>540000</v>
      </c>
      <c r="H97" s="23">
        <v>1</v>
      </c>
    </row>
    <row r="98" spans="1:8" s="9" customFormat="1" ht="66.75" customHeight="1">
      <c r="A98" s="4">
        <v>94</v>
      </c>
      <c r="B98" s="3" t="s">
        <v>8</v>
      </c>
      <c r="C98" s="3" t="s">
        <v>563</v>
      </c>
      <c r="D98" s="4" t="s">
        <v>9</v>
      </c>
      <c r="E98" s="3" t="s">
        <v>557</v>
      </c>
      <c r="F98" s="3" t="s">
        <v>576</v>
      </c>
      <c r="G98" s="24">
        <v>540000</v>
      </c>
      <c r="H98" s="23">
        <v>1</v>
      </c>
    </row>
    <row r="99" spans="1:8" s="9" customFormat="1" ht="73.5" customHeight="1">
      <c r="A99" s="4">
        <v>95</v>
      </c>
      <c r="B99" s="3" t="s">
        <v>7</v>
      </c>
      <c r="C99" s="3" t="s">
        <v>556</v>
      </c>
      <c r="D99" s="4" t="s">
        <v>9</v>
      </c>
      <c r="E99" s="3" t="s">
        <v>557</v>
      </c>
      <c r="F99" s="3" t="s">
        <v>571</v>
      </c>
      <c r="G99" s="24">
        <v>540000</v>
      </c>
      <c r="H99" s="23">
        <v>1</v>
      </c>
    </row>
    <row r="100" spans="1:8" s="9" customFormat="1" ht="73.5" customHeight="1">
      <c r="A100" s="4">
        <v>96</v>
      </c>
      <c r="B100" s="3" t="s">
        <v>8</v>
      </c>
      <c r="C100" s="3" t="s">
        <v>570</v>
      </c>
      <c r="D100" s="4" t="s">
        <v>9</v>
      </c>
      <c r="E100" s="3" t="s">
        <v>557</v>
      </c>
      <c r="F100" s="3" t="s">
        <v>581</v>
      </c>
      <c r="G100" s="24">
        <v>540000</v>
      </c>
      <c r="H100" s="23">
        <v>1</v>
      </c>
    </row>
    <row r="101" spans="1:8" s="9" customFormat="1" ht="99.75" customHeight="1">
      <c r="A101" s="4">
        <v>97</v>
      </c>
      <c r="B101" s="3" t="s">
        <v>8</v>
      </c>
      <c r="C101" s="3" t="s">
        <v>569</v>
      </c>
      <c r="D101" s="4" t="s">
        <v>572</v>
      </c>
      <c r="E101" s="3" t="s">
        <v>557</v>
      </c>
      <c r="F101" s="3" t="s">
        <v>771</v>
      </c>
      <c r="G101" s="24">
        <v>540000</v>
      </c>
      <c r="H101" s="23">
        <v>1</v>
      </c>
    </row>
    <row r="102" spans="1:8" s="9" customFormat="1" ht="83.25" customHeight="1">
      <c r="A102" s="4">
        <v>98</v>
      </c>
      <c r="B102" s="3" t="s">
        <v>7</v>
      </c>
      <c r="C102" s="3" t="s">
        <v>568</v>
      </c>
      <c r="D102" s="4" t="s">
        <v>578</v>
      </c>
      <c r="E102" s="3" t="s">
        <v>557</v>
      </c>
      <c r="F102" s="3" t="s">
        <v>778</v>
      </c>
      <c r="G102" s="24">
        <v>540000</v>
      </c>
      <c r="H102" s="23">
        <v>1</v>
      </c>
    </row>
    <row r="103" spans="1:8" s="9" customFormat="1" ht="40.5" customHeight="1">
      <c r="A103" s="4">
        <v>99</v>
      </c>
      <c r="B103" s="3" t="s">
        <v>7</v>
      </c>
      <c r="C103" s="3" t="s">
        <v>394</v>
      </c>
      <c r="D103" s="4" t="s">
        <v>9</v>
      </c>
      <c r="E103" s="3" t="s">
        <v>18</v>
      </c>
      <c r="F103" s="3" t="s">
        <v>357</v>
      </c>
      <c r="G103" s="24">
        <v>540000</v>
      </c>
      <c r="H103" s="23">
        <v>1</v>
      </c>
    </row>
    <row r="104" spans="1:8" s="9" customFormat="1" ht="42" customHeight="1">
      <c r="A104" s="4">
        <v>100</v>
      </c>
      <c r="B104" s="3" t="s">
        <v>7</v>
      </c>
      <c r="C104" s="3" t="s">
        <v>393</v>
      </c>
      <c r="D104" s="4" t="s">
        <v>9</v>
      </c>
      <c r="E104" s="3" t="s">
        <v>18</v>
      </c>
      <c r="F104" s="3" t="s">
        <v>399</v>
      </c>
      <c r="G104" s="24">
        <v>540000</v>
      </c>
      <c r="H104" s="23">
        <v>1</v>
      </c>
    </row>
    <row r="105" spans="1:8" s="9" customFormat="1" ht="57.75" customHeight="1">
      <c r="A105" s="4">
        <v>101</v>
      </c>
      <c r="B105" s="3" t="s">
        <v>8</v>
      </c>
      <c r="C105" s="3" t="s">
        <v>395</v>
      </c>
      <c r="D105" s="4" t="s">
        <v>9</v>
      </c>
      <c r="E105" s="3" t="s">
        <v>18</v>
      </c>
      <c r="F105" s="3" t="s">
        <v>401</v>
      </c>
      <c r="G105" s="24">
        <v>540000</v>
      </c>
      <c r="H105" s="23">
        <v>1</v>
      </c>
    </row>
    <row r="106" spans="1:8" s="9" customFormat="1" ht="51" customHeight="1">
      <c r="A106" s="4">
        <v>102</v>
      </c>
      <c r="B106" s="3" t="s">
        <v>397</v>
      </c>
      <c r="C106" s="3" t="s">
        <v>398</v>
      </c>
      <c r="D106" s="4" t="s">
        <v>9</v>
      </c>
      <c r="E106" s="3" t="s">
        <v>18</v>
      </c>
      <c r="F106" s="3" t="s">
        <v>400</v>
      </c>
      <c r="G106" s="24">
        <v>540000</v>
      </c>
      <c r="H106" s="23">
        <v>1</v>
      </c>
    </row>
    <row r="107" spans="1:8" s="9" customFormat="1" ht="51" customHeight="1">
      <c r="A107" s="4">
        <v>103</v>
      </c>
      <c r="B107" s="3" t="s">
        <v>397</v>
      </c>
      <c r="C107" s="3" t="s">
        <v>396</v>
      </c>
      <c r="D107" s="4" t="s">
        <v>9</v>
      </c>
      <c r="E107" s="3" t="s">
        <v>18</v>
      </c>
      <c r="F107" s="3" t="s">
        <v>402</v>
      </c>
      <c r="G107" s="24">
        <v>540000</v>
      </c>
      <c r="H107" s="23">
        <v>1</v>
      </c>
    </row>
    <row r="108" spans="1:8" s="9" customFormat="1" ht="82.5" customHeight="1">
      <c r="A108" s="4">
        <v>104</v>
      </c>
      <c r="B108" s="3" t="s">
        <v>8</v>
      </c>
      <c r="C108" s="3" t="s">
        <v>326</v>
      </c>
      <c r="D108" s="4" t="s">
        <v>9</v>
      </c>
      <c r="E108" s="3" t="s">
        <v>10</v>
      </c>
      <c r="F108" s="3" t="s">
        <v>769</v>
      </c>
      <c r="G108" s="24">
        <v>540000</v>
      </c>
      <c r="H108" s="23">
        <v>1</v>
      </c>
    </row>
    <row r="109" spans="1:8" s="9" customFormat="1" ht="63.75" customHeight="1">
      <c r="A109" s="4">
        <v>105</v>
      </c>
      <c r="B109" s="3" t="s">
        <v>7</v>
      </c>
      <c r="C109" s="3" t="s">
        <v>325</v>
      </c>
      <c r="D109" s="4" t="s">
        <v>9</v>
      </c>
      <c r="E109" s="3" t="s">
        <v>10</v>
      </c>
      <c r="F109" s="3" t="s">
        <v>829</v>
      </c>
      <c r="G109" s="24">
        <v>540000</v>
      </c>
      <c r="H109" s="23">
        <v>1</v>
      </c>
    </row>
    <row r="110" spans="1:8" s="9" customFormat="1" ht="42.75" customHeight="1">
      <c r="A110" s="4">
        <v>106</v>
      </c>
      <c r="B110" s="3" t="s">
        <v>7</v>
      </c>
      <c r="C110" s="3" t="s">
        <v>169</v>
      </c>
      <c r="D110" s="4" t="s">
        <v>9</v>
      </c>
      <c r="E110" s="3" t="s">
        <v>830</v>
      </c>
      <c r="F110" s="3" t="s">
        <v>194</v>
      </c>
      <c r="G110" s="24">
        <v>540000</v>
      </c>
      <c r="H110" s="23">
        <v>1</v>
      </c>
    </row>
    <row r="111" spans="1:8" s="9" customFormat="1" ht="42" customHeight="1">
      <c r="A111" s="4">
        <v>107</v>
      </c>
      <c r="B111" s="3" t="s">
        <v>8</v>
      </c>
      <c r="C111" s="3" t="s">
        <v>166</v>
      </c>
      <c r="D111" s="4" t="s">
        <v>72</v>
      </c>
      <c r="E111" s="3" t="s">
        <v>830</v>
      </c>
      <c r="F111" s="3" t="s">
        <v>199</v>
      </c>
      <c r="G111" s="24">
        <v>540000</v>
      </c>
      <c r="H111" s="23">
        <v>1</v>
      </c>
    </row>
    <row r="112" spans="1:8" s="9" customFormat="1" ht="48" customHeight="1">
      <c r="A112" s="4">
        <v>108</v>
      </c>
      <c r="B112" s="3" t="s">
        <v>8</v>
      </c>
      <c r="C112" s="3" t="s">
        <v>164</v>
      </c>
      <c r="D112" s="4" t="s">
        <v>72</v>
      </c>
      <c r="E112" s="3" t="s">
        <v>830</v>
      </c>
      <c r="F112" s="3" t="s">
        <v>198</v>
      </c>
      <c r="G112" s="24">
        <v>540000</v>
      </c>
      <c r="H112" s="23">
        <v>1</v>
      </c>
    </row>
    <row r="113" spans="1:8" s="9" customFormat="1" ht="40.5" customHeight="1">
      <c r="A113" s="4">
        <v>109</v>
      </c>
      <c r="B113" s="10" t="s">
        <v>8</v>
      </c>
      <c r="C113" s="10" t="s">
        <v>189</v>
      </c>
      <c r="D113" s="21" t="s">
        <v>9</v>
      </c>
      <c r="E113" s="3" t="s">
        <v>830</v>
      </c>
      <c r="F113" s="3" t="s">
        <v>206</v>
      </c>
      <c r="G113" s="24">
        <v>540000</v>
      </c>
      <c r="H113" s="23">
        <v>1</v>
      </c>
    </row>
    <row r="114" spans="1:8" s="9" customFormat="1" ht="39.75" customHeight="1">
      <c r="A114" s="4">
        <v>110</v>
      </c>
      <c r="B114" s="3" t="s">
        <v>8</v>
      </c>
      <c r="C114" s="10" t="s">
        <v>172</v>
      </c>
      <c r="D114" s="21" t="s">
        <v>9</v>
      </c>
      <c r="E114" s="3" t="s">
        <v>830</v>
      </c>
      <c r="F114" s="3" t="s">
        <v>201</v>
      </c>
      <c r="G114" s="24">
        <v>540000</v>
      </c>
      <c r="H114" s="23">
        <v>1</v>
      </c>
    </row>
    <row r="115" spans="1:15" ht="51" customHeight="1">
      <c r="A115" s="4">
        <v>111</v>
      </c>
      <c r="B115" s="10" t="s">
        <v>7</v>
      </c>
      <c r="C115" s="10" t="s">
        <v>180</v>
      </c>
      <c r="D115" s="21" t="s">
        <v>9</v>
      </c>
      <c r="E115" s="3" t="s">
        <v>830</v>
      </c>
      <c r="F115" s="3" t="s">
        <v>70</v>
      </c>
      <c r="G115" s="24">
        <v>540000</v>
      </c>
      <c r="H115" s="23">
        <v>1</v>
      </c>
      <c r="I115" s="15"/>
      <c r="J115" s="15"/>
      <c r="K115" s="15"/>
      <c r="L115" s="15"/>
      <c r="M115" s="15"/>
      <c r="N115" s="15"/>
      <c r="O115" s="15"/>
    </row>
    <row r="116" spans="1:15" ht="54" customHeight="1">
      <c r="A116" s="4">
        <v>112</v>
      </c>
      <c r="B116" s="10" t="s">
        <v>8</v>
      </c>
      <c r="C116" s="10" t="s">
        <v>182</v>
      </c>
      <c r="D116" s="21" t="s">
        <v>9</v>
      </c>
      <c r="E116" s="3" t="s">
        <v>830</v>
      </c>
      <c r="F116" s="3" t="s">
        <v>70</v>
      </c>
      <c r="G116" s="24">
        <v>540000</v>
      </c>
      <c r="H116" s="23">
        <v>1</v>
      </c>
      <c r="I116" s="15"/>
      <c r="J116" s="15"/>
      <c r="K116" s="15"/>
      <c r="L116" s="15"/>
      <c r="M116" s="15"/>
      <c r="N116" s="15"/>
      <c r="O116" s="15"/>
    </row>
    <row r="117" spans="1:15" ht="42.75" customHeight="1">
      <c r="A117" s="4">
        <v>113</v>
      </c>
      <c r="B117" s="3" t="s">
        <v>8</v>
      </c>
      <c r="C117" s="10" t="s">
        <v>173</v>
      </c>
      <c r="D117" s="21" t="s">
        <v>9</v>
      </c>
      <c r="E117" s="3" t="s">
        <v>830</v>
      </c>
      <c r="F117" s="3" t="s">
        <v>73</v>
      </c>
      <c r="G117" s="24">
        <v>540000</v>
      </c>
      <c r="H117" s="23">
        <v>1</v>
      </c>
      <c r="I117" s="15"/>
      <c r="J117" s="15"/>
      <c r="K117" s="15"/>
      <c r="L117" s="15"/>
      <c r="M117" s="15"/>
      <c r="N117" s="15"/>
      <c r="O117" s="15"/>
    </row>
    <row r="118" spans="1:8" ht="43.5" customHeight="1">
      <c r="A118" s="4">
        <v>114</v>
      </c>
      <c r="B118" s="3" t="s">
        <v>8</v>
      </c>
      <c r="C118" s="3" t="s">
        <v>167</v>
      </c>
      <c r="D118" s="4" t="s">
        <v>9</v>
      </c>
      <c r="E118" s="3" t="s">
        <v>830</v>
      </c>
      <c r="F118" s="3" t="s">
        <v>199</v>
      </c>
      <c r="G118" s="24">
        <v>540000</v>
      </c>
      <c r="H118" s="23">
        <v>1</v>
      </c>
    </row>
    <row r="119" spans="1:8" ht="42.75" customHeight="1">
      <c r="A119" s="4">
        <v>115</v>
      </c>
      <c r="B119" s="10" t="s">
        <v>8</v>
      </c>
      <c r="C119" s="10" t="s">
        <v>186</v>
      </c>
      <c r="D119" s="21" t="s">
        <v>9</v>
      </c>
      <c r="E119" s="3" t="s">
        <v>830</v>
      </c>
      <c r="F119" s="3" t="s">
        <v>289</v>
      </c>
      <c r="G119" s="24">
        <v>540000</v>
      </c>
      <c r="H119" s="23">
        <v>1</v>
      </c>
    </row>
    <row r="120" spans="1:8" ht="42" customHeight="1">
      <c r="A120" s="4">
        <v>116</v>
      </c>
      <c r="B120" s="10" t="s">
        <v>8</v>
      </c>
      <c r="C120" s="10" t="s">
        <v>187</v>
      </c>
      <c r="D120" s="21" t="s">
        <v>9</v>
      </c>
      <c r="E120" s="3" t="s">
        <v>830</v>
      </c>
      <c r="F120" s="3" t="s">
        <v>205</v>
      </c>
      <c r="G120" s="24">
        <v>540000</v>
      </c>
      <c r="H120" s="23">
        <v>1</v>
      </c>
    </row>
    <row r="121" spans="1:8" ht="41.25" customHeight="1">
      <c r="A121" s="4">
        <v>117</v>
      </c>
      <c r="B121" s="3" t="s">
        <v>7</v>
      </c>
      <c r="C121" s="3" t="s">
        <v>170</v>
      </c>
      <c r="D121" s="4" t="s">
        <v>9</v>
      </c>
      <c r="E121" s="3" t="s">
        <v>830</v>
      </c>
      <c r="F121" s="3" t="s">
        <v>195</v>
      </c>
      <c r="G121" s="24">
        <v>540000</v>
      </c>
      <c r="H121" s="23">
        <v>1</v>
      </c>
    </row>
    <row r="122" spans="1:8" ht="36" customHeight="1">
      <c r="A122" s="4">
        <v>118</v>
      </c>
      <c r="B122" s="3" t="s">
        <v>7</v>
      </c>
      <c r="C122" s="3" t="s">
        <v>165</v>
      </c>
      <c r="D122" s="21" t="s">
        <v>68</v>
      </c>
      <c r="E122" s="3" t="s">
        <v>830</v>
      </c>
      <c r="F122" s="3" t="s">
        <v>827</v>
      </c>
      <c r="G122" s="24">
        <v>540000</v>
      </c>
      <c r="H122" s="23">
        <v>1</v>
      </c>
    </row>
    <row r="123" spans="1:8" ht="42.75" customHeight="1">
      <c r="A123" s="4">
        <v>119</v>
      </c>
      <c r="B123" s="10" t="s">
        <v>7</v>
      </c>
      <c r="C123" s="10" t="s">
        <v>181</v>
      </c>
      <c r="D123" s="21" t="s">
        <v>68</v>
      </c>
      <c r="E123" s="3" t="s">
        <v>830</v>
      </c>
      <c r="F123" s="3" t="s">
        <v>327</v>
      </c>
      <c r="G123" s="24">
        <v>540000</v>
      </c>
      <c r="H123" s="23">
        <v>1</v>
      </c>
    </row>
    <row r="124" spans="1:8" ht="43.5" customHeight="1">
      <c r="A124" s="4">
        <v>120</v>
      </c>
      <c r="B124" s="10" t="s">
        <v>8</v>
      </c>
      <c r="C124" s="10" t="s">
        <v>191</v>
      </c>
      <c r="D124" s="21" t="s">
        <v>9</v>
      </c>
      <c r="E124" s="3" t="s">
        <v>830</v>
      </c>
      <c r="F124" s="3" t="s">
        <v>208</v>
      </c>
      <c r="G124" s="24">
        <v>540000</v>
      </c>
      <c r="H124" s="23">
        <v>1</v>
      </c>
    </row>
    <row r="125" spans="1:8" ht="37.5" customHeight="1">
      <c r="A125" s="4">
        <v>121</v>
      </c>
      <c r="B125" s="3" t="s">
        <v>8</v>
      </c>
      <c r="C125" s="10" t="s">
        <v>174</v>
      </c>
      <c r="D125" s="21" t="s">
        <v>9</v>
      </c>
      <c r="E125" s="3" t="s">
        <v>830</v>
      </c>
      <c r="F125" s="3" t="s">
        <v>81</v>
      </c>
      <c r="G125" s="24">
        <v>540000</v>
      </c>
      <c r="H125" s="23">
        <v>1</v>
      </c>
    </row>
    <row r="126" spans="1:8" ht="41.25" customHeight="1">
      <c r="A126" s="4">
        <v>122</v>
      </c>
      <c r="B126" s="10" t="s">
        <v>8</v>
      </c>
      <c r="C126" s="10" t="s">
        <v>42</v>
      </c>
      <c r="D126" s="21" t="s">
        <v>9</v>
      </c>
      <c r="E126" s="3" t="s">
        <v>830</v>
      </c>
      <c r="F126" s="3" t="s">
        <v>204</v>
      </c>
      <c r="G126" s="24">
        <v>540000</v>
      </c>
      <c r="H126" s="23">
        <v>1</v>
      </c>
    </row>
    <row r="127" spans="1:8" ht="37.5" customHeight="1">
      <c r="A127" s="4">
        <v>123</v>
      </c>
      <c r="B127" s="3" t="s">
        <v>8</v>
      </c>
      <c r="C127" s="3" t="s">
        <v>177</v>
      </c>
      <c r="D127" s="4" t="s">
        <v>9</v>
      </c>
      <c r="E127" s="3" t="s">
        <v>830</v>
      </c>
      <c r="F127" s="3" t="s">
        <v>203</v>
      </c>
      <c r="G127" s="24">
        <v>540000</v>
      </c>
      <c r="H127" s="23">
        <v>1</v>
      </c>
    </row>
    <row r="128" spans="1:8" ht="43.5" customHeight="1">
      <c r="A128" s="4">
        <v>124</v>
      </c>
      <c r="B128" s="3" t="s">
        <v>8</v>
      </c>
      <c r="C128" s="10" t="s">
        <v>178</v>
      </c>
      <c r="D128" s="21" t="s">
        <v>9</v>
      </c>
      <c r="E128" s="3" t="s">
        <v>830</v>
      </c>
      <c r="F128" s="3" t="s">
        <v>77</v>
      </c>
      <c r="G128" s="24">
        <v>540000</v>
      </c>
      <c r="H128" s="23">
        <v>1</v>
      </c>
    </row>
    <row r="129" spans="1:8" ht="41.25" customHeight="1">
      <c r="A129" s="4">
        <v>125</v>
      </c>
      <c r="B129" s="3" t="s">
        <v>8</v>
      </c>
      <c r="C129" s="3" t="s">
        <v>163</v>
      </c>
      <c r="D129" s="4" t="s">
        <v>9</v>
      </c>
      <c r="E129" s="3" t="s">
        <v>830</v>
      </c>
      <c r="F129" s="3" t="s">
        <v>192</v>
      </c>
      <c r="G129" s="24">
        <v>540000</v>
      </c>
      <c r="H129" s="23">
        <v>1</v>
      </c>
    </row>
    <row r="130" spans="1:8" ht="39.75" customHeight="1">
      <c r="A130" s="4">
        <v>126</v>
      </c>
      <c r="B130" s="10" t="s">
        <v>8</v>
      </c>
      <c r="C130" s="10" t="s">
        <v>188</v>
      </c>
      <c r="D130" s="21" t="s">
        <v>72</v>
      </c>
      <c r="E130" s="3" t="s">
        <v>830</v>
      </c>
      <c r="F130" s="3" t="s">
        <v>206</v>
      </c>
      <c r="G130" s="24">
        <v>540000</v>
      </c>
      <c r="H130" s="23">
        <v>1</v>
      </c>
    </row>
    <row r="131" spans="1:8" ht="41.25" customHeight="1">
      <c r="A131" s="4">
        <v>127</v>
      </c>
      <c r="B131" s="3" t="s">
        <v>8</v>
      </c>
      <c r="C131" s="3" t="s">
        <v>176</v>
      </c>
      <c r="D131" s="4" t="s">
        <v>9</v>
      </c>
      <c r="E131" s="3" t="s">
        <v>830</v>
      </c>
      <c r="F131" s="3" t="s">
        <v>203</v>
      </c>
      <c r="G131" s="24">
        <v>540000</v>
      </c>
      <c r="H131" s="23">
        <v>1</v>
      </c>
    </row>
    <row r="132" spans="1:8" ht="40.5" customHeight="1">
      <c r="A132" s="4">
        <v>128</v>
      </c>
      <c r="B132" s="10" t="s">
        <v>8</v>
      </c>
      <c r="C132" s="10" t="s">
        <v>190</v>
      </c>
      <c r="D132" s="21" t="s">
        <v>68</v>
      </c>
      <c r="E132" s="3" t="s">
        <v>830</v>
      </c>
      <c r="F132" s="3" t="s">
        <v>207</v>
      </c>
      <c r="G132" s="24">
        <v>540000</v>
      </c>
      <c r="H132" s="23">
        <v>1</v>
      </c>
    </row>
    <row r="133" spans="1:8" ht="45" customHeight="1">
      <c r="A133" s="4">
        <v>129</v>
      </c>
      <c r="B133" s="10" t="s">
        <v>7</v>
      </c>
      <c r="C133" s="10" t="s">
        <v>183</v>
      </c>
      <c r="D133" s="21" t="s">
        <v>9</v>
      </c>
      <c r="E133" s="3" t="s">
        <v>830</v>
      </c>
      <c r="F133" s="3" t="s">
        <v>823</v>
      </c>
      <c r="G133" s="24">
        <v>540000</v>
      </c>
      <c r="H133" s="23">
        <v>1</v>
      </c>
    </row>
    <row r="134" spans="1:8" ht="43.5" customHeight="1">
      <c r="A134" s="4">
        <v>130</v>
      </c>
      <c r="B134" s="10" t="s">
        <v>7</v>
      </c>
      <c r="C134" s="10" t="s">
        <v>184</v>
      </c>
      <c r="D134" s="21" t="s">
        <v>197</v>
      </c>
      <c r="E134" s="3" t="s">
        <v>830</v>
      </c>
      <c r="F134" s="3" t="s">
        <v>80</v>
      </c>
      <c r="G134" s="24">
        <v>540000</v>
      </c>
      <c r="H134" s="23">
        <v>1</v>
      </c>
    </row>
    <row r="135" spans="1:8" ht="37.5" customHeight="1">
      <c r="A135" s="4">
        <v>131</v>
      </c>
      <c r="B135" s="3" t="s">
        <v>8</v>
      </c>
      <c r="C135" s="10" t="s">
        <v>171</v>
      </c>
      <c r="D135" s="4" t="s">
        <v>72</v>
      </c>
      <c r="E135" s="3" t="s">
        <v>830</v>
      </c>
      <c r="F135" s="3" t="s">
        <v>196</v>
      </c>
      <c r="G135" s="24">
        <v>540000</v>
      </c>
      <c r="H135" s="23">
        <v>1</v>
      </c>
    </row>
    <row r="136" spans="1:8" ht="39" customHeight="1">
      <c r="A136" s="4">
        <v>132</v>
      </c>
      <c r="B136" s="3" t="s">
        <v>8</v>
      </c>
      <c r="C136" s="10" t="s">
        <v>175</v>
      </c>
      <c r="D136" s="21" t="s">
        <v>72</v>
      </c>
      <c r="E136" s="3" t="s">
        <v>830</v>
      </c>
      <c r="F136" s="3" t="s">
        <v>81</v>
      </c>
      <c r="G136" s="24">
        <v>540000</v>
      </c>
      <c r="H136" s="23">
        <v>1</v>
      </c>
    </row>
    <row r="137" spans="1:8" ht="42" customHeight="1">
      <c r="A137" s="4">
        <v>133</v>
      </c>
      <c r="B137" s="3" t="s">
        <v>8</v>
      </c>
      <c r="C137" s="3" t="s">
        <v>791</v>
      </c>
      <c r="D137" s="21" t="s">
        <v>9</v>
      </c>
      <c r="E137" s="3" t="s">
        <v>830</v>
      </c>
      <c r="F137" s="3" t="s">
        <v>77</v>
      </c>
      <c r="G137" s="24">
        <v>540000</v>
      </c>
      <c r="H137" s="23">
        <v>1</v>
      </c>
    </row>
    <row r="138" spans="1:8" ht="40.5" customHeight="1">
      <c r="A138" s="4">
        <v>134</v>
      </c>
      <c r="B138" s="10" t="s">
        <v>7</v>
      </c>
      <c r="C138" s="10" t="s">
        <v>185</v>
      </c>
      <c r="D138" s="21" t="s">
        <v>72</v>
      </c>
      <c r="E138" s="3" t="s">
        <v>830</v>
      </c>
      <c r="F138" s="3" t="s">
        <v>80</v>
      </c>
      <c r="G138" s="24">
        <v>540000</v>
      </c>
      <c r="H138" s="23">
        <v>1</v>
      </c>
    </row>
    <row r="139" spans="1:8" ht="45.75" customHeight="1">
      <c r="A139" s="4">
        <v>135</v>
      </c>
      <c r="B139" s="3" t="s">
        <v>8</v>
      </c>
      <c r="C139" s="3" t="s">
        <v>168</v>
      </c>
      <c r="D139" s="4" t="s">
        <v>9</v>
      </c>
      <c r="E139" s="3" t="s">
        <v>830</v>
      </c>
      <c r="F139" s="3" t="s">
        <v>200</v>
      </c>
      <c r="G139" s="24">
        <v>540000</v>
      </c>
      <c r="H139" s="23">
        <v>1</v>
      </c>
    </row>
    <row r="140" spans="1:8" ht="51" customHeight="1">
      <c r="A140" s="4">
        <v>136</v>
      </c>
      <c r="B140" s="10" t="s">
        <v>8</v>
      </c>
      <c r="C140" s="10" t="s">
        <v>785</v>
      </c>
      <c r="D140" s="21" t="s">
        <v>9</v>
      </c>
      <c r="E140" s="3" t="s">
        <v>830</v>
      </c>
      <c r="F140" s="3" t="s">
        <v>786</v>
      </c>
      <c r="G140" s="24">
        <v>540000</v>
      </c>
      <c r="H140" s="23">
        <v>1</v>
      </c>
    </row>
    <row r="141" spans="1:8" ht="36" customHeight="1">
      <c r="A141" s="4">
        <v>137</v>
      </c>
      <c r="B141" s="3" t="s">
        <v>7</v>
      </c>
      <c r="C141" s="10" t="s">
        <v>179</v>
      </c>
      <c r="D141" s="21" t="s">
        <v>68</v>
      </c>
      <c r="E141" s="3" t="s">
        <v>830</v>
      </c>
      <c r="F141" s="3" t="s">
        <v>202</v>
      </c>
      <c r="G141" s="24">
        <v>540000</v>
      </c>
      <c r="H141" s="23">
        <v>1</v>
      </c>
    </row>
    <row r="142" spans="1:8" ht="37.5" customHeight="1">
      <c r="A142" s="4">
        <v>138</v>
      </c>
      <c r="B142" s="3" t="s">
        <v>8</v>
      </c>
      <c r="C142" s="3" t="s">
        <v>279</v>
      </c>
      <c r="D142" s="4" t="s">
        <v>9</v>
      </c>
      <c r="E142" s="3" t="s">
        <v>831</v>
      </c>
      <c r="F142" s="3" t="s">
        <v>289</v>
      </c>
      <c r="G142" s="24">
        <v>540000</v>
      </c>
      <c r="H142" s="23">
        <v>1</v>
      </c>
    </row>
    <row r="143" spans="1:8" ht="36" customHeight="1">
      <c r="A143" s="4">
        <v>139</v>
      </c>
      <c r="B143" s="3" t="s">
        <v>7</v>
      </c>
      <c r="C143" s="3" t="s">
        <v>286</v>
      </c>
      <c r="D143" s="4" t="s">
        <v>9</v>
      </c>
      <c r="E143" s="3" t="s">
        <v>831</v>
      </c>
      <c r="F143" s="3" t="s">
        <v>90</v>
      </c>
      <c r="G143" s="24">
        <v>540000</v>
      </c>
      <c r="H143" s="23">
        <v>1</v>
      </c>
    </row>
    <row r="144" spans="1:8" ht="41.25" customHeight="1">
      <c r="A144" s="4">
        <v>140</v>
      </c>
      <c r="B144" s="3" t="s">
        <v>8</v>
      </c>
      <c r="C144" s="3" t="s">
        <v>282</v>
      </c>
      <c r="D144" s="4" t="s">
        <v>9</v>
      </c>
      <c r="E144" s="3" t="s">
        <v>831</v>
      </c>
      <c r="F144" s="3" t="s">
        <v>290</v>
      </c>
      <c r="G144" s="24">
        <v>540000</v>
      </c>
      <c r="H144" s="23">
        <v>1</v>
      </c>
    </row>
    <row r="145" spans="1:8" ht="38.25" customHeight="1">
      <c r="A145" s="4">
        <v>141</v>
      </c>
      <c r="B145" s="3" t="s">
        <v>8</v>
      </c>
      <c r="C145" s="3" t="s">
        <v>281</v>
      </c>
      <c r="D145" s="4" t="s">
        <v>9</v>
      </c>
      <c r="E145" s="3" t="s">
        <v>831</v>
      </c>
      <c r="F145" s="3" t="s">
        <v>84</v>
      </c>
      <c r="G145" s="24">
        <v>540000</v>
      </c>
      <c r="H145" s="23">
        <v>1</v>
      </c>
    </row>
    <row r="146" spans="1:8" ht="41.25" customHeight="1">
      <c r="A146" s="4">
        <v>142</v>
      </c>
      <c r="B146" s="3" t="s">
        <v>8</v>
      </c>
      <c r="C146" s="3" t="s">
        <v>278</v>
      </c>
      <c r="D146" s="4" t="s">
        <v>9</v>
      </c>
      <c r="E146" s="3" t="s">
        <v>831</v>
      </c>
      <c r="F146" s="3" t="s">
        <v>81</v>
      </c>
      <c r="G146" s="24">
        <v>540000</v>
      </c>
      <c r="H146" s="23">
        <v>1</v>
      </c>
    </row>
    <row r="147" spans="1:8" ht="42.75" customHeight="1">
      <c r="A147" s="4">
        <v>143</v>
      </c>
      <c r="B147" s="3" t="s">
        <v>8</v>
      </c>
      <c r="C147" s="3" t="s">
        <v>283</v>
      </c>
      <c r="D147" s="4" t="s">
        <v>9</v>
      </c>
      <c r="E147" s="3" t="s">
        <v>831</v>
      </c>
      <c r="F147" s="3" t="s">
        <v>291</v>
      </c>
      <c r="G147" s="24">
        <v>540000</v>
      </c>
      <c r="H147" s="23">
        <v>1</v>
      </c>
    </row>
    <row r="148" spans="1:8" ht="51" customHeight="1">
      <c r="A148" s="4">
        <v>144</v>
      </c>
      <c r="B148" s="3" t="s">
        <v>7</v>
      </c>
      <c r="C148" s="3" t="s">
        <v>277</v>
      </c>
      <c r="D148" s="4" t="s">
        <v>9</v>
      </c>
      <c r="E148" s="3" t="s">
        <v>831</v>
      </c>
      <c r="F148" s="3" t="s">
        <v>288</v>
      </c>
      <c r="G148" s="24">
        <v>540000</v>
      </c>
      <c r="H148" s="23">
        <v>1</v>
      </c>
    </row>
    <row r="149" spans="1:8" ht="51" customHeight="1">
      <c r="A149" s="4">
        <v>145</v>
      </c>
      <c r="B149" s="3" t="s">
        <v>7</v>
      </c>
      <c r="C149" s="3" t="s">
        <v>284</v>
      </c>
      <c r="D149" s="4" t="s">
        <v>9</v>
      </c>
      <c r="E149" s="3" t="s">
        <v>831</v>
      </c>
      <c r="F149" s="3" t="s">
        <v>292</v>
      </c>
      <c r="G149" s="24">
        <v>540000</v>
      </c>
      <c r="H149" s="23">
        <v>1</v>
      </c>
    </row>
    <row r="150" spans="1:8" ht="40.5" customHeight="1">
      <c r="A150" s="4">
        <v>146</v>
      </c>
      <c r="B150" s="3" t="s">
        <v>8</v>
      </c>
      <c r="C150" s="3" t="s">
        <v>280</v>
      </c>
      <c r="D150" s="4" t="s">
        <v>9</v>
      </c>
      <c r="E150" s="3" t="s">
        <v>831</v>
      </c>
      <c r="F150" s="3" t="s">
        <v>84</v>
      </c>
      <c r="G150" s="24">
        <v>540000</v>
      </c>
      <c r="H150" s="23">
        <v>1</v>
      </c>
    </row>
    <row r="151" spans="1:8" ht="51" customHeight="1">
      <c r="A151" s="4">
        <v>147</v>
      </c>
      <c r="B151" s="3" t="s">
        <v>7</v>
      </c>
      <c r="C151" s="3" t="s">
        <v>285</v>
      </c>
      <c r="D151" s="4" t="s">
        <v>9</v>
      </c>
      <c r="E151" s="3" t="s">
        <v>831</v>
      </c>
      <c r="F151" s="3" t="s">
        <v>293</v>
      </c>
      <c r="G151" s="24">
        <v>540000</v>
      </c>
      <c r="H151" s="23">
        <v>1</v>
      </c>
    </row>
    <row r="152" spans="1:8" ht="39.75" customHeight="1">
      <c r="A152" s="4">
        <v>148</v>
      </c>
      <c r="B152" s="3" t="s">
        <v>8</v>
      </c>
      <c r="C152" s="3" t="s">
        <v>287</v>
      </c>
      <c r="D152" s="4" t="s">
        <v>444</v>
      </c>
      <c r="E152" s="3" t="s">
        <v>831</v>
      </c>
      <c r="F152" s="3" t="s">
        <v>291</v>
      </c>
      <c r="G152" s="24">
        <v>540000</v>
      </c>
      <c r="H152" s="23">
        <v>1</v>
      </c>
    </row>
    <row r="153" spans="1:8" ht="43.5" customHeight="1">
      <c r="A153" s="4">
        <v>149</v>
      </c>
      <c r="B153" s="3" t="s">
        <v>7</v>
      </c>
      <c r="C153" s="3" t="s">
        <v>64</v>
      </c>
      <c r="D153" s="4" t="s">
        <v>72</v>
      </c>
      <c r="E153" s="3" t="s">
        <v>832</v>
      </c>
      <c r="F153" s="3" t="s">
        <v>88</v>
      </c>
      <c r="G153" s="24">
        <v>540000</v>
      </c>
      <c r="H153" s="23">
        <v>1</v>
      </c>
    </row>
    <row r="154" spans="1:8" ht="39" customHeight="1">
      <c r="A154" s="4">
        <v>150</v>
      </c>
      <c r="B154" s="3" t="s">
        <v>7</v>
      </c>
      <c r="C154" s="3" t="s">
        <v>67</v>
      </c>
      <c r="D154" s="4" t="s">
        <v>9</v>
      </c>
      <c r="E154" s="3" t="s">
        <v>832</v>
      </c>
      <c r="F154" s="3" t="s">
        <v>88</v>
      </c>
      <c r="G154" s="24">
        <v>540000</v>
      </c>
      <c r="H154" s="23">
        <v>1</v>
      </c>
    </row>
    <row r="155" spans="1:8" ht="40.5" customHeight="1">
      <c r="A155" s="4">
        <v>151</v>
      </c>
      <c r="B155" s="3" t="s">
        <v>7</v>
      </c>
      <c r="C155" s="10" t="s">
        <v>46</v>
      </c>
      <c r="D155" s="4" t="s">
        <v>72</v>
      </c>
      <c r="E155" s="3" t="s">
        <v>832</v>
      </c>
      <c r="F155" s="3" t="s">
        <v>74</v>
      </c>
      <c r="G155" s="24">
        <v>540000</v>
      </c>
      <c r="H155" s="23">
        <v>1</v>
      </c>
    </row>
    <row r="156" spans="1:8" ht="39" customHeight="1">
      <c r="A156" s="4">
        <v>152</v>
      </c>
      <c r="B156" s="3" t="s">
        <v>7</v>
      </c>
      <c r="C156" s="10" t="s">
        <v>38</v>
      </c>
      <c r="D156" s="4" t="s">
        <v>9</v>
      </c>
      <c r="E156" s="3" t="s">
        <v>832</v>
      </c>
      <c r="F156" s="3" t="s">
        <v>70</v>
      </c>
      <c r="G156" s="24">
        <v>540000</v>
      </c>
      <c r="H156" s="23">
        <v>1</v>
      </c>
    </row>
    <row r="157" spans="1:8" ht="38.25" customHeight="1">
      <c r="A157" s="4">
        <v>153</v>
      </c>
      <c r="B157" s="3" t="s">
        <v>8</v>
      </c>
      <c r="C157" s="10" t="s">
        <v>53</v>
      </c>
      <c r="D157" s="4" t="s">
        <v>68</v>
      </c>
      <c r="E157" s="3" t="s">
        <v>832</v>
      </c>
      <c r="F157" s="3" t="s">
        <v>77</v>
      </c>
      <c r="G157" s="24">
        <v>540000</v>
      </c>
      <c r="H157" s="23">
        <v>1</v>
      </c>
    </row>
    <row r="158" spans="1:8" ht="46.5" customHeight="1">
      <c r="A158" s="4">
        <v>154</v>
      </c>
      <c r="B158" s="3" t="s">
        <v>8</v>
      </c>
      <c r="C158" s="10" t="s">
        <v>57</v>
      </c>
      <c r="D158" s="4" t="s">
        <v>9</v>
      </c>
      <c r="E158" s="3" t="s">
        <v>832</v>
      </c>
      <c r="F158" s="3" t="s">
        <v>79</v>
      </c>
      <c r="G158" s="24">
        <v>540000</v>
      </c>
      <c r="H158" s="23">
        <v>1</v>
      </c>
    </row>
    <row r="159" spans="1:8" ht="51" customHeight="1">
      <c r="A159" s="4">
        <v>155</v>
      </c>
      <c r="B159" s="3" t="s">
        <v>8</v>
      </c>
      <c r="C159" s="10" t="s">
        <v>50</v>
      </c>
      <c r="D159" s="4" t="s">
        <v>9</v>
      </c>
      <c r="E159" s="3" t="s">
        <v>832</v>
      </c>
      <c r="F159" s="3" t="s">
        <v>83</v>
      </c>
      <c r="G159" s="24">
        <v>540000</v>
      </c>
      <c r="H159" s="23">
        <v>1</v>
      </c>
    </row>
    <row r="160" spans="1:8" ht="51" customHeight="1">
      <c r="A160" s="4">
        <v>156</v>
      </c>
      <c r="B160" s="3" t="s">
        <v>8</v>
      </c>
      <c r="C160" s="10" t="s">
        <v>48</v>
      </c>
      <c r="D160" s="4" t="s">
        <v>9</v>
      </c>
      <c r="E160" s="3" t="s">
        <v>832</v>
      </c>
      <c r="F160" s="3" t="s">
        <v>275</v>
      </c>
      <c r="G160" s="24">
        <v>540000</v>
      </c>
      <c r="H160" s="23">
        <v>1</v>
      </c>
    </row>
    <row r="161" spans="1:8" ht="51" customHeight="1">
      <c r="A161" s="4">
        <v>157</v>
      </c>
      <c r="B161" s="3" t="s">
        <v>8</v>
      </c>
      <c r="C161" s="3" t="s">
        <v>58</v>
      </c>
      <c r="D161" s="4" t="s">
        <v>9</v>
      </c>
      <c r="E161" s="3" t="s">
        <v>832</v>
      </c>
      <c r="F161" s="3" t="s">
        <v>80</v>
      </c>
      <c r="G161" s="24">
        <v>540000</v>
      </c>
      <c r="H161" s="23">
        <v>1</v>
      </c>
    </row>
    <row r="162" spans="1:8" ht="49.5" customHeight="1">
      <c r="A162" s="4">
        <v>158</v>
      </c>
      <c r="B162" s="3" t="s">
        <v>7</v>
      </c>
      <c r="C162" s="10" t="s">
        <v>63</v>
      </c>
      <c r="D162" s="4" t="s">
        <v>9</v>
      </c>
      <c r="E162" s="3" t="s">
        <v>832</v>
      </c>
      <c r="F162" s="3" t="s">
        <v>89</v>
      </c>
      <c r="G162" s="24">
        <v>540000</v>
      </c>
      <c r="H162" s="23">
        <v>1</v>
      </c>
    </row>
    <row r="163" spans="1:8" ht="45" customHeight="1">
      <c r="A163" s="4">
        <v>159</v>
      </c>
      <c r="B163" s="3" t="s">
        <v>8</v>
      </c>
      <c r="C163" s="10" t="s">
        <v>56</v>
      </c>
      <c r="D163" s="4" t="s">
        <v>9</v>
      </c>
      <c r="E163" s="3" t="s">
        <v>832</v>
      </c>
      <c r="F163" s="3" t="s">
        <v>78</v>
      </c>
      <c r="G163" s="24">
        <v>540000</v>
      </c>
      <c r="H163" s="23">
        <v>1</v>
      </c>
    </row>
    <row r="164" spans="1:8" ht="48" customHeight="1">
      <c r="A164" s="4">
        <v>160</v>
      </c>
      <c r="B164" s="3" t="s">
        <v>8</v>
      </c>
      <c r="C164" s="10" t="s">
        <v>61</v>
      </c>
      <c r="D164" s="4" t="s">
        <v>9</v>
      </c>
      <c r="E164" s="3" t="s">
        <v>832</v>
      </c>
      <c r="F164" s="3" t="s">
        <v>86</v>
      </c>
      <c r="G164" s="24">
        <v>540000</v>
      </c>
      <c r="H164" s="23">
        <v>1</v>
      </c>
    </row>
    <row r="165" spans="1:8" ht="51" customHeight="1">
      <c r="A165" s="4">
        <v>161</v>
      </c>
      <c r="B165" s="3" t="s">
        <v>8</v>
      </c>
      <c r="C165" s="10" t="s">
        <v>52</v>
      </c>
      <c r="D165" s="4" t="s">
        <v>9</v>
      </c>
      <c r="E165" s="3" t="s">
        <v>832</v>
      </c>
      <c r="F165" s="3" t="s">
        <v>76</v>
      </c>
      <c r="G165" s="24">
        <v>540000</v>
      </c>
      <c r="H165" s="23">
        <v>1</v>
      </c>
    </row>
    <row r="166" spans="1:8" ht="44.25" customHeight="1">
      <c r="A166" s="4">
        <v>162</v>
      </c>
      <c r="B166" s="3" t="s">
        <v>8</v>
      </c>
      <c r="C166" s="10" t="s">
        <v>42</v>
      </c>
      <c r="D166" s="4" t="s">
        <v>72</v>
      </c>
      <c r="E166" s="3" t="s">
        <v>832</v>
      </c>
      <c r="F166" s="3" t="s">
        <v>73</v>
      </c>
      <c r="G166" s="24">
        <v>540000</v>
      </c>
      <c r="H166" s="23">
        <v>1</v>
      </c>
    </row>
    <row r="167" spans="1:8" ht="42.75" customHeight="1">
      <c r="A167" s="4">
        <v>163</v>
      </c>
      <c r="B167" s="3" t="s">
        <v>8</v>
      </c>
      <c r="C167" s="10" t="s">
        <v>51</v>
      </c>
      <c r="D167" s="4" t="s">
        <v>9</v>
      </c>
      <c r="E167" s="3" t="s">
        <v>832</v>
      </c>
      <c r="F167" s="3" t="s">
        <v>83</v>
      </c>
      <c r="G167" s="24">
        <v>540000</v>
      </c>
      <c r="H167" s="23">
        <v>1</v>
      </c>
    </row>
    <row r="168" spans="1:8" ht="44.25" customHeight="1">
      <c r="A168" s="4">
        <v>164</v>
      </c>
      <c r="B168" s="3" t="s">
        <v>8</v>
      </c>
      <c r="C168" s="10" t="s">
        <v>47</v>
      </c>
      <c r="D168" s="4" t="s">
        <v>9</v>
      </c>
      <c r="E168" s="3" t="s">
        <v>832</v>
      </c>
      <c r="F168" s="3" t="s">
        <v>74</v>
      </c>
      <c r="G168" s="24">
        <v>540000</v>
      </c>
      <c r="H168" s="23">
        <v>1</v>
      </c>
    </row>
    <row r="169" spans="1:8" ht="40.5" customHeight="1">
      <c r="A169" s="4">
        <v>165</v>
      </c>
      <c r="B169" s="3" t="s">
        <v>8</v>
      </c>
      <c r="C169" s="10" t="s">
        <v>49</v>
      </c>
      <c r="D169" s="4" t="s">
        <v>9</v>
      </c>
      <c r="E169" s="3" t="s">
        <v>832</v>
      </c>
      <c r="F169" s="3" t="s">
        <v>75</v>
      </c>
      <c r="G169" s="24">
        <v>540000</v>
      </c>
      <c r="H169" s="23">
        <v>1</v>
      </c>
    </row>
    <row r="170" spans="1:8" ht="42.75" customHeight="1">
      <c r="A170" s="4">
        <v>166</v>
      </c>
      <c r="B170" s="3" t="s">
        <v>7</v>
      </c>
      <c r="C170" s="3" t="s">
        <v>65</v>
      </c>
      <c r="D170" s="4" t="s">
        <v>9</v>
      </c>
      <c r="E170" s="3" t="s">
        <v>832</v>
      </c>
      <c r="F170" s="3" t="s">
        <v>87</v>
      </c>
      <c r="G170" s="24">
        <v>540000</v>
      </c>
      <c r="H170" s="23">
        <v>1</v>
      </c>
    </row>
    <row r="171" spans="1:8" ht="51.75" customHeight="1">
      <c r="A171" s="4">
        <v>167</v>
      </c>
      <c r="B171" s="3" t="s">
        <v>7</v>
      </c>
      <c r="C171" s="10" t="s">
        <v>60</v>
      </c>
      <c r="D171" s="4" t="s">
        <v>72</v>
      </c>
      <c r="E171" s="3" t="s">
        <v>832</v>
      </c>
      <c r="F171" s="3" t="s">
        <v>81</v>
      </c>
      <c r="G171" s="24">
        <v>540000</v>
      </c>
      <c r="H171" s="23">
        <v>1</v>
      </c>
    </row>
    <row r="172" spans="1:8" ht="45.75" customHeight="1">
      <c r="A172" s="4">
        <v>168</v>
      </c>
      <c r="B172" s="3" t="s">
        <v>7</v>
      </c>
      <c r="C172" s="10" t="s">
        <v>40</v>
      </c>
      <c r="D172" s="4" t="s">
        <v>9</v>
      </c>
      <c r="E172" s="3" t="s">
        <v>832</v>
      </c>
      <c r="F172" s="3" t="s">
        <v>71</v>
      </c>
      <c r="G172" s="24">
        <v>540000</v>
      </c>
      <c r="H172" s="23">
        <v>1</v>
      </c>
    </row>
    <row r="173" spans="1:8" ht="51" customHeight="1">
      <c r="A173" s="4">
        <v>169</v>
      </c>
      <c r="B173" s="3" t="s">
        <v>8</v>
      </c>
      <c r="C173" s="10" t="s">
        <v>62</v>
      </c>
      <c r="D173" s="4" t="s">
        <v>72</v>
      </c>
      <c r="E173" s="3" t="s">
        <v>832</v>
      </c>
      <c r="F173" s="3" t="s">
        <v>763</v>
      </c>
      <c r="G173" s="24">
        <v>540000</v>
      </c>
      <c r="H173" s="23">
        <v>1</v>
      </c>
    </row>
    <row r="174" spans="1:8" ht="41.25" customHeight="1">
      <c r="A174" s="4">
        <v>170</v>
      </c>
      <c r="B174" s="3" t="s">
        <v>7</v>
      </c>
      <c r="C174" s="3" t="s">
        <v>44</v>
      </c>
      <c r="D174" s="4" t="s">
        <v>9</v>
      </c>
      <c r="E174" s="3" t="s">
        <v>832</v>
      </c>
      <c r="F174" s="3" t="s">
        <v>73</v>
      </c>
      <c r="G174" s="24">
        <v>540000</v>
      </c>
      <c r="H174" s="23">
        <v>1</v>
      </c>
    </row>
    <row r="175" spans="1:8" ht="45.75" customHeight="1">
      <c r="A175" s="4">
        <v>171</v>
      </c>
      <c r="B175" s="3" t="s">
        <v>8</v>
      </c>
      <c r="C175" s="10" t="s">
        <v>37</v>
      </c>
      <c r="D175" s="4" t="s">
        <v>68</v>
      </c>
      <c r="E175" s="3" t="s">
        <v>832</v>
      </c>
      <c r="F175" s="3" t="s">
        <v>69</v>
      </c>
      <c r="G175" s="24">
        <v>540000</v>
      </c>
      <c r="H175" s="23">
        <v>1</v>
      </c>
    </row>
    <row r="176" spans="1:8" ht="42" customHeight="1">
      <c r="A176" s="4">
        <v>172</v>
      </c>
      <c r="B176" s="3" t="s">
        <v>8</v>
      </c>
      <c r="C176" s="10" t="s">
        <v>54</v>
      </c>
      <c r="D176" s="4" t="s">
        <v>9</v>
      </c>
      <c r="E176" s="3" t="s">
        <v>832</v>
      </c>
      <c r="F176" s="3" t="s">
        <v>84</v>
      </c>
      <c r="G176" s="24">
        <v>540000</v>
      </c>
      <c r="H176" s="23">
        <v>1</v>
      </c>
    </row>
    <row r="177" spans="1:8" ht="41.25" customHeight="1">
      <c r="A177" s="4">
        <v>173</v>
      </c>
      <c r="B177" s="3" t="s">
        <v>7</v>
      </c>
      <c r="C177" s="3" t="s">
        <v>66</v>
      </c>
      <c r="D177" s="4" t="s">
        <v>9</v>
      </c>
      <c r="E177" s="3" t="s">
        <v>832</v>
      </c>
      <c r="F177" s="3" t="s">
        <v>90</v>
      </c>
      <c r="G177" s="24">
        <v>540000</v>
      </c>
      <c r="H177" s="23">
        <v>1</v>
      </c>
    </row>
    <row r="178" spans="1:8" ht="34.5" customHeight="1">
      <c r="A178" s="4">
        <v>174</v>
      </c>
      <c r="B178" s="3" t="s">
        <v>8</v>
      </c>
      <c r="C178" s="3" t="s">
        <v>39</v>
      </c>
      <c r="D178" s="4" t="s">
        <v>9</v>
      </c>
      <c r="E178" s="3" t="s">
        <v>832</v>
      </c>
      <c r="F178" s="3" t="s">
        <v>71</v>
      </c>
      <c r="G178" s="24">
        <v>540000</v>
      </c>
      <c r="H178" s="23">
        <v>1</v>
      </c>
    </row>
    <row r="179" spans="1:8" ht="40.5" customHeight="1">
      <c r="A179" s="4">
        <v>175</v>
      </c>
      <c r="B179" s="3" t="s">
        <v>7</v>
      </c>
      <c r="C179" s="10" t="s">
        <v>55</v>
      </c>
      <c r="D179" s="4" t="s">
        <v>72</v>
      </c>
      <c r="E179" s="3" t="s">
        <v>832</v>
      </c>
      <c r="F179" s="3" t="s">
        <v>834</v>
      </c>
      <c r="G179" s="24">
        <v>540000</v>
      </c>
      <c r="H179" s="23">
        <v>1</v>
      </c>
    </row>
    <row r="180" spans="1:8" ht="42.75" customHeight="1">
      <c r="A180" s="4">
        <v>176</v>
      </c>
      <c r="B180" s="3" t="s">
        <v>8</v>
      </c>
      <c r="C180" s="10" t="s">
        <v>59</v>
      </c>
      <c r="D180" s="4" t="s">
        <v>68</v>
      </c>
      <c r="E180" s="3" t="s">
        <v>832</v>
      </c>
      <c r="F180" s="3" t="s">
        <v>85</v>
      </c>
      <c r="G180" s="24">
        <v>540000</v>
      </c>
      <c r="H180" s="23">
        <v>1</v>
      </c>
    </row>
    <row r="181" spans="1:8" ht="38.25" customHeight="1">
      <c r="A181" s="4">
        <v>177</v>
      </c>
      <c r="B181" s="3" t="s">
        <v>8</v>
      </c>
      <c r="C181" s="3" t="s">
        <v>45</v>
      </c>
      <c r="D181" s="4" t="s">
        <v>9</v>
      </c>
      <c r="E181" s="3" t="s">
        <v>832</v>
      </c>
      <c r="F181" s="3" t="s">
        <v>82</v>
      </c>
      <c r="G181" s="24">
        <v>540000</v>
      </c>
      <c r="H181" s="23">
        <v>1</v>
      </c>
    </row>
    <row r="182" spans="1:8" ht="32.25" customHeight="1">
      <c r="A182" s="4">
        <v>178</v>
      </c>
      <c r="B182" s="3" t="s">
        <v>8</v>
      </c>
      <c r="C182" s="10" t="s">
        <v>43</v>
      </c>
      <c r="D182" s="4" t="s">
        <v>9</v>
      </c>
      <c r="E182" s="3" t="s">
        <v>832</v>
      </c>
      <c r="F182" s="3" t="s">
        <v>73</v>
      </c>
      <c r="G182" s="24">
        <v>540000</v>
      </c>
      <c r="H182" s="23">
        <v>1</v>
      </c>
    </row>
    <row r="183" spans="1:8" ht="37.5" customHeight="1">
      <c r="A183" s="4">
        <v>179</v>
      </c>
      <c r="B183" s="3" t="s">
        <v>8</v>
      </c>
      <c r="C183" s="10" t="s">
        <v>41</v>
      </c>
      <c r="D183" s="4" t="s">
        <v>9</v>
      </c>
      <c r="E183" s="3" t="s">
        <v>832</v>
      </c>
      <c r="F183" s="3" t="s">
        <v>71</v>
      </c>
      <c r="G183" s="24">
        <v>540000</v>
      </c>
      <c r="H183" s="23">
        <v>1</v>
      </c>
    </row>
    <row r="184" spans="1:8" ht="27.75" customHeight="1">
      <c r="A184" s="30" t="s">
        <v>796</v>
      </c>
      <c r="B184" s="31"/>
      <c r="C184" s="31"/>
      <c r="D184" s="31"/>
      <c r="E184" s="31"/>
      <c r="F184" s="32"/>
      <c r="G184" s="26">
        <f>SUM(G5:G183)</f>
        <v>96660000</v>
      </c>
      <c r="H184" s="25">
        <f>SUM(H5:H183)</f>
        <v>179</v>
      </c>
    </row>
    <row r="185" spans="1:8" ht="52.5" customHeight="1">
      <c r="A185" s="33" t="s">
        <v>797</v>
      </c>
      <c r="B185" s="33"/>
      <c r="C185" s="33"/>
      <c r="D185" s="33"/>
      <c r="E185" s="33"/>
      <c r="F185" s="33"/>
      <c r="G185" s="33"/>
      <c r="H185" s="33"/>
    </row>
  </sheetData>
  <sheetProtection/>
  <mergeCells count="4">
    <mergeCell ref="A184:F184"/>
    <mergeCell ref="A185:H185"/>
    <mergeCell ref="A1:H1"/>
    <mergeCell ref="A2:H2"/>
  </mergeCells>
  <printOptions horizontalCentered="1"/>
  <pageMargins left="0.35" right="0.35" top="0.5" bottom="0.5" header="0.38"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32"/>
  <sheetViews>
    <sheetView tabSelected="1" zoomScalePageLayoutView="0" workbookViewId="0" topLeftCell="A1">
      <selection activeCell="M12" sqref="M12"/>
    </sheetView>
  </sheetViews>
  <sheetFormatPr defaultColWidth="9.00390625" defaultRowHeight="12.75"/>
  <cols>
    <col min="1" max="1" width="4.75390625" style="64" customWidth="1"/>
    <col min="2" max="2" width="22.875" style="64" customWidth="1"/>
    <col min="3" max="3" width="9.75390625" style="64" customWidth="1"/>
    <col min="4" max="4" width="24.625" style="64" customWidth="1"/>
    <col min="5" max="5" width="55.875" style="66" customWidth="1"/>
    <col min="6" max="6" width="14.25390625" style="66" customWidth="1"/>
    <col min="7" max="7" width="11.125" style="66" customWidth="1"/>
    <col min="8" max="16384" width="9.125" style="37" customWidth="1"/>
  </cols>
  <sheetData>
    <row r="1" spans="1:7" ht="54.75" customHeight="1">
      <c r="A1" s="36" t="s">
        <v>801</v>
      </c>
      <c r="B1" s="36"/>
      <c r="C1" s="36"/>
      <c r="D1" s="36"/>
      <c r="E1" s="36"/>
      <c r="F1" s="36"/>
      <c r="G1" s="36"/>
    </row>
    <row r="2" spans="1:7" s="39" customFormat="1" ht="27.75" customHeight="1">
      <c r="A2" s="38" t="s">
        <v>835</v>
      </c>
      <c r="B2" s="38"/>
      <c r="C2" s="38"/>
      <c r="D2" s="38"/>
      <c r="E2" s="38"/>
      <c r="F2" s="38"/>
      <c r="G2" s="38"/>
    </row>
    <row r="3" spans="1:6" s="41" customFormat="1" ht="15.75" customHeight="1">
      <c r="A3" s="40"/>
      <c r="B3" s="40"/>
      <c r="C3" s="40"/>
      <c r="D3" s="40"/>
      <c r="E3" s="40"/>
      <c r="F3" s="40"/>
    </row>
    <row r="4" spans="1:7" s="44" customFormat="1" ht="48.75" customHeight="1">
      <c r="A4" s="42" t="s">
        <v>0</v>
      </c>
      <c r="B4" s="42" t="s">
        <v>5</v>
      </c>
      <c r="C4" s="42" t="s">
        <v>4</v>
      </c>
      <c r="D4" s="42" t="s">
        <v>2</v>
      </c>
      <c r="E4" s="42" t="s">
        <v>787</v>
      </c>
      <c r="F4" s="42" t="s">
        <v>794</v>
      </c>
      <c r="G4" s="43" t="s">
        <v>795</v>
      </c>
    </row>
    <row r="5" spans="1:7" s="51" customFormat="1" ht="27" customHeight="1">
      <c r="A5" s="45">
        <v>1</v>
      </c>
      <c r="B5" s="46" t="s">
        <v>91</v>
      </c>
      <c r="C5" s="47" t="s">
        <v>92</v>
      </c>
      <c r="D5" s="45" t="s">
        <v>14</v>
      </c>
      <c r="E5" s="48" t="s">
        <v>137</v>
      </c>
      <c r="F5" s="49">
        <v>540000</v>
      </c>
      <c r="G5" s="50">
        <v>1</v>
      </c>
    </row>
    <row r="6" spans="1:7" s="51" customFormat="1" ht="36" customHeight="1">
      <c r="A6" s="45">
        <v>2</v>
      </c>
      <c r="B6" s="46" t="s">
        <v>93</v>
      </c>
      <c r="C6" s="47" t="s">
        <v>92</v>
      </c>
      <c r="D6" s="45" t="s">
        <v>14</v>
      </c>
      <c r="E6" s="48" t="s">
        <v>156</v>
      </c>
      <c r="F6" s="49">
        <v>540000</v>
      </c>
      <c r="G6" s="50">
        <v>1</v>
      </c>
    </row>
    <row r="7" spans="1:7" s="51" customFormat="1" ht="31.5" customHeight="1">
      <c r="A7" s="45">
        <v>3</v>
      </c>
      <c r="B7" s="46" t="s">
        <v>94</v>
      </c>
      <c r="C7" s="47" t="s">
        <v>92</v>
      </c>
      <c r="D7" s="45" t="s">
        <v>14</v>
      </c>
      <c r="E7" s="48" t="s">
        <v>156</v>
      </c>
      <c r="F7" s="49">
        <v>540000</v>
      </c>
      <c r="G7" s="50">
        <v>1</v>
      </c>
    </row>
    <row r="8" spans="1:7" s="51" customFormat="1" ht="27" customHeight="1">
      <c r="A8" s="45">
        <v>4</v>
      </c>
      <c r="B8" s="46" t="s">
        <v>95</v>
      </c>
      <c r="C8" s="47" t="s">
        <v>96</v>
      </c>
      <c r="D8" s="45" t="s">
        <v>14</v>
      </c>
      <c r="E8" s="48" t="s">
        <v>138</v>
      </c>
      <c r="F8" s="49">
        <v>540000</v>
      </c>
      <c r="G8" s="50">
        <v>1</v>
      </c>
    </row>
    <row r="9" spans="1:7" s="51" customFormat="1" ht="27" customHeight="1">
      <c r="A9" s="45">
        <v>5</v>
      </c>
      <c r="B9" s="46" t="s">
        <v>97</v>
      </c>
      <c r="C9" s="47" t="s">
        <v>92</v>
      </c>
      <c r="D9" s="45" t="s">
        <v>14</v>
      </c>
      <c r="E9" s="48" t="s">
        <v>139</v>
      </c>
      <c r="F9" s="49">
        <v>540000</v>
      </c>
      <c r="G9" s="50">
        <v>1</v>
      </c>
    </row>
    <row r="10" spans="1:7" s="51" customFormat="1" ht="27" customHeight="1">
      <c r="A10" s="45">
        <v>6</v>
      </c>
      <c r="B10" s="46" t="s">
        <v>98</v>
      </c>
      <c r="C10" s="47" t="s">
        <v>96</v>
      </c>
      <c r="D10" s="45" t="s">
        <v>14</v>
      </c>
      <c r="E10" s="48" t="s">
        <v>157</v>
      </c>
      <c r="F10" s="49">
        <v>540000</v>
      </c>
      <c r="G10" s="50">
        <v>1</v>
      </c>
    </row>
    <row r="11" spans="1:7" s="51" customFormat="1" ht="27" customHeight="1">
      <c r="A11" s="45">
        <v>7</v>
      </c>
      <c r="B11" s="46" t="s">
        <v>99</v>
      </c>
      <c r="C11" s="47" t="s">
        <v>92</v>
      </c>
      <c r="D11" s="45" t="s">
        <v>14</v>
      </c>
      <c r="E11" s="48" t="s">
        <v>140</v>
      </c>
      <c r="F11" s="49">
        <v>540000</v>
      </c>
      <c r="G11" s="50">
        <v>1</v>
      </c>
    </row>
    <row r="12" spans="1:7" s="51" customFormat="1" ht="27" customHeight="1">
      <c r="A12" s="45">
        <v>8</v>
      </c>
      <c r="B12" s="46" t="s">
        <v>100</v>
      </c>
      <c r="C12" s="47" t="s">
        <v>96</v>
      </c>
      <c r="D12" s="45" t="s">
        <v>14</v>
      </c>
      <c r="E12" s="48" t="s">
        <v>140</v>
      </c>
      <c r="F12" s="49">
        <v>540000</v>
      </c>
      <c r="G12" s="50">
        <v>1</v>
      </c>
    </row>
    <row r="13" spans="1:7" s="51" customFormat="1" ht="27" customHeight="1">
      <c r="A13" s="45">
        <v>9</v>
      </c>
      <c r="B13" s="46" t="s">
        <v>101</v>
      </c>
      <c r="C13" s="47" t="s">
        <v>96</v>
      </c>
      <c r="D13" s="45" t="s">
        <v>14</v>
      </c>
      <c r="E13" s="48" t="s">
        <v>141</v>
      </c>
      <c r="F13" s="49">
        <v>540000</v>
      </c>
      <c r="G13" s="50">
        <v>1</v>
      </c>
    </row>
    <row r="14" spans="1:7" s="51" customFormat="1" ht="39" customHeight="1">
      <c r="A14" s="45">
        <v>10</v>
      </c>
      <c r="B14" s="46" t="s">
        <v>102</v>
      </c>
      <c r="C14" s="47" t="s">
        <v>92</v>
      </c>
      <c r="D14" s="45" t="s">
        <v>14</v>
      </c>
      <c r="E14" s="48" t="s">
        <v>161</v>
      </c>
      <c r="F14" s="49">
        <v>540000</v>
      </c>
      <c r="G14" s="50">
        <v>1</v>
      </c>
    </row>
    <row r="15" spans="1:7" s="51" customFormat="1" ht="35.25" customHeight="1">
      <c r="A15" s="45">
        <v>11</v>
      </c>
      <c r="B15" s="46" t="s">
        <v>103</v>
      </c>
      <c r="C15" s="47" t="s">
        <v>96</v>
      </c>
      <c r="D15" s="45" t="s">
        <v>14</v>
      </c>
      <c r="E15" s="48" t="s">
        <v>162</v>
      </c>
      <c r="F15" s="49">
        <v>540000</v>
      </c>
      <c r="G15" s="50">
        <v>1</v>
      </c>
    </row>
    <row r="16" spans="1:7" s="51" customFormat="1" ht="36" customHeight="1">
      <c r="A16" s="45">
        <v>12</v>
      </c>
      <c r="B16" s="46" t="s">
        <v>104</v>
      </c>
      <c r="C16" s="47" t="s">
        <v>96</v>
      </c>
      <c r="D16" s="45" t="s">
        <v>14</v>
      </c>
      <c r="E16" s="48" t="s">
        <v>162</v>
      </c>
      <c r="F16" s="49">
        <v>540000</v>
      </c>
      <c r="G16" s="50">
        <v>1</v>
      </c>
    </row>
    <row r="17" spans="1:7" s="51" customFormat="1" ht="27" customHeight="1">
      <c r="A17" s="45">
        <v>13</v>
      </c>
      <c r="B17" s="46" t="s">
        <v>105</v>
      </c>
      <c r="C17" s="47" t="s">
        <v>106</v>
      </c>
      <c r="D17" s="45" t="s">
        <v>14</v>
      </c>
      <c r="E17" s="48" t="s">
        <v>142</v>
      </c>
      <c r="F17" s="49">
        <v>540000</v>
      </c>
      <c r="G17" s="50">
        <v>1</v>
      </c>
    </row>
    <row r="18" spans="1:7" s="51" customFormat="1" ht="27" customHeight="1">
      <c r="A18" s="45">
        <v>14</v>
      </c>
      <c r="B18" s="46" t="s">
        <v>107</v>
      </c>
      <c r="C18" s="47" t="s">
        <v>106</v>
      </c>
      <c r="D18" s="45" t="s">
        <v>14</v>
      </c>
      <c r="E18" s="48" t="s">
        <v>142</v>
      </c>
      <c r="F18" s="49">
        <v>540000</v>
      </c>
      <c r="G18" s="50">
        <v>1</v>
      </c>
    </row>
    <row r="19" spans="1:7" s="51" customFormat="1" ht="36" customHeight="1">
      <c r="A19" s="45">
        <v>15</v>
      </c>
      <c r="B19" s="46" t="s">
        <v>108</v>
      </c>
      <c r="C19" s="47" t="s">
        <v>106</v>
      </c>
      <c r="D19" s="45" t="s">
        <v>14</v>
      </c>
      <c r="E19" s="48" t="s">
        <v>158</v>
      </c>
      <c r="F19" s="49">
        <v>540000</v>
      </c>
      <c r="G19" s="50">
        <v>1</v>
      </c>
    </row>
    <row r="20" spans="1:7" s="51" customFormat="1" ht="27" customHeight="1">
      <c r="A20" s="45">
        <v>16</v>
      </c>
      <c r="B20" s="46" t="s">
        <v>109</v>
      </c>
      <c r="C20" s="47" t="s">
        <v>106</v>
      </c>
      <c r="D20" s="45" t="s">
        <v>14</v>
      </c>
      <c r="E20" s="48" t="s">
        <v>143</v>
      </c>
      <c r="F20" s="49">
        <v>540000</v>
      </c>
      <c r="G20" s="50">
        <v>1</v>
      </c>
    </row>
    <row r="21" spans="1:7" s="51" customFormat="1" ht="27" customHeight="1">
      <c r="A21" s="45">
        <v>17</v>
      </c>
      <c r="B21" s="46" t="s">
        <v>110</v>
      </c>
      <c r="C21" s="47" t="s">
        <v>106</v>
      </c>
      <c r="D21" s="45" t="s">
        <v>14</v>
      </c>
      <c r="E21" s="48" t="s">
        <v>143</v>
      </c>
      <c r="F21" s="49">
        <v>540000</v>
      </c>
      <c r="G21" s="50">
        <v>1</v>
      </c>
    </row>
    <row r="22" spans="1:7" s="51" customFormat="1" ht="32.25" customHeight="1">
      <c r="A22" s="45">
        <v>18</v>
      </c>
      <c r="B22" s="46" t="s">
        <v>111</v>
      </c>
      <c r="C22" s="47" t="s">
        <v>106</v>
      </c>
      <c r="D22" s="45" t="s">
        <v>14</v>
      </c>
      <c r="E22" s="48" t="s">
        <v>159</v>
      </c>
      <c r="F22" s="49">
        <v>540000</v>
      </c>
      <c r="G22" s="50">
        <v>1</v>
      </c>
    </row>
    <row r="23" spans="1:7" s="51" customFormat="1" ht="27" customHeight="1">
      <c r="A23" s="45">
        <v>19</v>
      </c>
      <c r="B23" s="46" t="s">
        <v>112</v>
      </c>
      <c r="C23" s="47" t="s">
        <v>106</v>
      </c>
      <c r="D23" s="45" t="s">
        <v>14</v>
      </c>
      <c r="E23" s="48" t="s">
        <v>144</v>
      </c>
      <c r="F23" s="49">
        <v>540000</v>
      </c>
      <c r="G23" s="50">
        <v>1</v>
      </c>
    </row>
    <row r="24" spans="1:7" s="51" customFormat="1" ht="27" customHeight="1">
      <c r="A24" s="45">
        <v>20</v>
      </c>
      <c r="B24" s="46" t="s">
        <v>113</v>
      </c>
      <c r="C24" s="47" t="s">
        <v>106</v>
      </c>
      <c r="D24" s="45" t="s">
        <v>14</v>
      </c>
      <c r="E24" s="48" t="s">
        <v>144</v>
      </c>
      <c r="F24" s="49">
        <v>540000</v>
      </c>
      <c r="G24" s="50">
        <v>1</v>
      </c>
    </row>
    <row r="25" spans="1:7" s="51" customFormat="1" ht="27" customHeight="1">
      <c r="A25" s="45">
        <v>21</v>
      </c>
      <c r="B25" s="46" t="s">
        <v>114</v>
      </c>
      <c r="C25" s="47" t="s">
        <v>106</v>
      </c>
      <c r="D25" s="45" t="s">
        <v>14</v>
      </c>
      <c r="E25" s="48" t="s">
        <v>144</v>
      </c>
      <c r="F25" s="49">
        <v>540000</v>
      </c>
      <c r="G25" s="50">
        <v>1</v>
      </c>
    </row>
    <row r="26" spans="1:7" s="51" customFormat="1" ht="27" customHeight="1">
      <c r="A26" s="45">
        <v>22</v>
      </c>
      <c r="B26" s="46" t="s">
        <v>115</v>
      </c>
      <c r="C26" s="47" t="s">
        <v>106</v>
      </c>
      <c r="D26" s="45" t="s">
        <v>14</v>
      </c>
      <c r="E26" s="48" t="s">
        <v>145</v>
      </c>
      <c r="F26" s="49">
        <v>540000</v>
      </c>
      <c r="G26" s="50">
        <v>1</v>
      </c>
    </row>
    <row r="27" spans="1:7" s="51" customFormat="1" ht="27" customHeight="1">
      <c r="A27" s="45">
        <v>23</v>
      </c>
      <c r="B27" s="46" t="s">
        <v>116</v>
      </c>
      <c r="C27" s="47" t="s">
        <v>106</v>
      </c>
      <c r="D27" s="45" t="s">
        <v>14</v>
      </c>
      <c r="E27" s="48" t="s">
        <v>145</v>
      </c>
      <c r="F27" s="49">
        <v>540000</v>
      </c>
      <c r="G27" s="50">
        <v>1</v>
      </c>
    </row>
    <row r="28" spans="1:7" s="51" customFormat="1" ht="27" customHeight="1">
      <c r="A28" s="45">
        <v>24</v>
      </c>
      <c r="B28" s="46" t="s">
        <v>117</v>
      </c>
      <c r="C28" s="47" t="s">
        <v>106</v>
      </c>
      <c r="D28" s="45" t="s">
        <v>14</v>
      </c>
      <c r="E28" s="48" t="s">
        <v>146</v>
      </c>
      <c r="F28" s="49">
        <v>540000</v>
      </c>
      <c r="G28" s="50">
        <v>1</v>
      </c>
    </row>
    <row r="29" spans="1:7" s="51" customFormat="1" ht="27" customHeight="1">
      <c r="A29" s="45">
        <v>25</v>
      </c>
      <c r="B29" s="46" t="s">
        <v>118</v>
      </c>
      <c r="C29" s="47" t="s">
        <v>92</v>
      </c>
      <c r="D29" s="45" t="s">
        <v>14</v>
      </c>
      <c r="E29" s="48" t="s">
        <v>147</v>
      </c>
      <c r="F29" s="49">
        <v>540000</v>
      </c>
      <c r="G29" s="50">
        <v>1</v>
      </c>
    </row>
    <row r="30" spans="1:7" s="51" customFormat="1" ht="27" customHeight="1">
      <c r="A30" s="45">
        <v>26</v>
      </c>
      <c r="B30" s="46" t="s">
        <v>56</v>
      </c>
      <c r="C30" s="47" t="s">
        <v>92</v>
      </c>
      <c r="D30" s="45" t="s">
        <v>14</v>
      </c>
      <c r="E30" s="48" t="s">
        <v>148</v>
      </c>
      <c r="F30" s="49">
        <v>540000</v>
      </c>
      <c r="G30" s="50">
        <v>1</v>
      </c>
    </row>
    <row r="31" spans="1:7" s="51" customFormat="1" ht="34.5" customHeight="1">
      <c r="A31" s="45">
        <v>27</v>
      </c>
      <c r="B31" s="46" t="s">
        <v>119</v>
      </c>
      <c r="C31" s="47" t="s">
        <v>92</v>
      </c>
      <c r="D31" s="45" t="s">
        <v>14</v>
      </c>
      <c r="E31" s="48" t="s">
        <v>160</v>
      </c>
      <c r="F31" s="49">
        <v>540000</v>
      </c>
      <c r="G31" s="50">
        <v>1</v>
      </c>
    </row>
    <row r="32" spans="1:7" s="51" customFormat="1" ht="27" customHeight="1">
      <c r="A32" s="45">
        <v>28</v>
      </c>
      <c r="B32" s="46" t="s">
        <v>120</v>
      </c>
      <c r="C32" s="47" t="s">
        <v>121</v>
      </c>
      <c r="D32" s="45" t="s">
        <v>14</v>
      </c>
      <c r="E32" s="48" t="s">
        <v>149</v>
      </c>
      <c r="F32" s="49">
        <v>540000</v>
      </c>
      <c r="G32" s="50">
        <v>1</v>
      </c>
    </row>
    <row r="33" spans="1:7" s="51" customFormat="1" ht="33.75" customHeight="1">
      <c r="A33" s="45">
        <v>29</v>
      </c>
      <c r="B33" s="46" t="s">
        <v>122</v>
      </c>
      <c r="C33" s="47" t="s">
        <v>121</v>
      </c>
      <c r="D33" s="45" t="s">
        <v>14</v>
      </c>
      <c r="E33" s="48" t="s">
        <v>764</v>
      </c>
      <c r="F33" s="49">
        <v>540000</v>
      </c>
      <c r="G33" s="50">
        <v>1</v>
      </c>
    </row>
    <row r="34" spans="1:7" s="51" customFormat="1" ht="27" customHeight="1">
      <c r="A34" s="45">
        <v>30</v>
      </c>
      <c r="B34" s="46" t="s">
        <v>123</v>
      </c>
      <c r="C34" s="47" t="s">
        <v>121</v>
      </c>
      <c r="D34" s="45" t="s">
        <v>14</v>
      </c>
      <c r="E34" s="48" t="s">
        <v>150</v>
      </c>
      <c r="F34" s="49">
        <v>540000</v>
      </c>
      <c r="G34" s="50">
        <v>1</v>
      </c>
    </row>
    <row r="35" spans="1:7" s="51" customFormat="1" ht="34.5" customHeight="1">
      <c r="A35" s="45">
        <v>31</v>
      </c>
      <c r="B35" s="48" t="s">
        <v>273</v>
      </c>
      <c r="C35" s="45" t="s">
        <v>324</v>
      </c>
      <c r="D35" s="45" t="s">
        <v>14</v>
      </c>
      <c r="E35" s="48" t="s">
        <v>276</v>
      </c>
      <c r="F35" s="49">
        <v>540000</v>
      </c>
      <c r="G35" s="50">
        <v>1</v>
      </c>
    </row>
    <row r="36" spans="1:7" s="51" customFormat="1" ht="33.75" customHeight="1">
      <c r="A36" s="45">
        <v>32</v>
      </c>
      <c r="B36" s="48" t="s">
        <v>274</v>
      </c>
      <c r="C36" s="45" t="s">
        <v>324</v>
      </c>
      <c r="D36" s="45" t="s">
        <v>14</v>
      </c>
      <c r="E36" s="48" t="s">
        <v>276</v>
      </c>
      <c r="F36" s="49">
        <v>540000</v>
      </c>
      <c r="G36" s="50">
        <v>1</v>
      </c>
    </row>
    <row r="37" spans="1:7" s="51" customFormat="1" ht="27" customHeight="1">
      <c r="A37" s="45">
        <v>33</v>
      </c>
      <c r="B37" s="48" t="s">
        <v>124</v>
      </c>
      <c r="C37" s="45" t="s">
        <v>125</v>
      </c>
      <c r="D37" s="45" t="s">
        <v>14</v>
      </c>
      <c r="E37" s="48" t="s">
        <v>151</v>
      </c>
      <c r="F37" s="49">
        <v>540000</v>
      </c>
      <c r="G37" s="50">
        <v>1</v>
      </c>
    </row>
    <row r="38" spans="1:7" s="51" customFormat="1" ht="27" customHeight="1">
      <c r="A38" s="45">
        <v>34</v>
      </c>
      <c r="B38" s="48" t="s">
        <v>126</v>
      </c>
      <c r="C38" s="45" t="s">
        <v>127</v>
      </c>
      <c r="D38" s="45" t="s">
        <v>14</v>
      </c>
      <c r="E38" s="48" t="s">
        <v>151</v>
      </c>
      <c r="F38" s="49">
        <v>540000</v>
      </c>
      <c r="G38" s="50">
        <v>1</v>
      </c>
    </row>
    <row r="39" spans="1:7" s="51" customFormat="1" ht="30" customHeight="1">
      <c r="A39" s="45">
        <v>35</v>
      </c>
      <c r="B39" s="48" t="s">
        <v>128</v>
      </c>
      <c r="C39" s="45" t="s">
        <v>127</v>
      </c>
      <c r="D39" s="45" t="s">
        <v>14</v>
      </c>
      <c r="E39" s="48" t="s">
        <v>151</v>
      </c>
      <c r="F39" s="49">
        <v>540000</v>
      </c>
      <c r="G39" s="50">
        <v>1</v>
      </c>
    </row>
    <row r="40" spans="1:7" s="51" customFormat="1" ht="33.75" customHeight="1">
      <c r="A40" s="45">
        <v>36</v>
      </c>
      <c r="B40" s="48" t="s">
        <v>129</v>
      </c>
      <c r="C40" s="45" t="s">
        <v>121</v>
      </c>
      <c r="D40" s="45" t="s">
        <v>14</v>
      </c>
      <c r="E40" s="48" t="s">
        <v>152</v>
      </c>
      <c r="F40" s="49">
        <v>540000</v>
      </c>
      <c r="G40" s="50">
        <v>1</v>
      </c>
    </row>
    <row r="41" spans="1:7" s="51" customFormat="1" ht="32.25" customHeight="1">
      <c r="A41" s="45">
        <v>37</v>
      </c>
      <c r="B41" s="48" t="s">
        <v>130</v>
      </c>
      <c r="C41" s="45" t="s">
        <v>96</v>
      </c>
      <c r="D41" s="45" t="s">
        <v>14</v>
      </c>
      <c r="E41" s="48" t="s">
        <v>152</v>
      </c>
      <c r="F41" s="49">
        <v>540000</v>
      </c>
      <c r="G41" s="50">
        <v>1</v>
      </c>
    </row>
    <row r="42" spans="1:7" s="51" customFormat="1" ht="27" customHeight="1">
      <c r="A42" s="45">
        <v>38</v>
      </c>
      <c r="B42" s="48" t="s">
        <v>131</v>
      </c>
      <c r="C42" s="45" t="s">
        <v>106</v>
      </c>
      <c r="D42" s="45" t="s">
        <v>14</v>
      </c>
      <c r="E42" s="48" t="s">
        <v>153</v>
      </c>
      <c r="F42" s="49">
        <v>540000</v>
      </c>
      <c r="G42" s="50">
        <v>1</v>
      </c>
    </row>
    <row r="43" spans="1:7" s="51" customFormat="1" ht="27" customHeight="1">
      <c r="A43" s="45">
        <v>39</v>
      </c>
      <c r="B43" s="48" t="s">
        <v>132</v>
      </c>
      <c r="C43" s="45" t="s">
        <v>133</v>
      </c>
      <c r="D43" s="45" t="s">
        <v>14</v>
      </c>
      <c r="E43" s="48" t="s">
        <v>154</v>
      </c>
      <c r="F43" s="49">
        <v>540000</v>
      </c>
      <c r="G43" s="50">
        <v>1</v>
      </c>
    </row>
    <row r="44" spans="1:7" s="51" customFormat="1" ht="27" customHeight="1">
      <c r="A44" s="45">
        <v>40</v>
      </c>
      <c r="B44" s="48" t="s">
        <v>134</v>
      </c>
      <c r="C44" s="45" t="s">
        <v>121</v>
      </c>
      <c r="D44" s="45" t="s">
        <v>14</v>
      </c>
      <c r="E44" s="48" t="s">
        <v>155</v>
      </c>
      <c r="F44" s="49">
        <v>540000</v>
      </c>
      <c r="G44" s="50">
        <v>1</v>
      </c>
    </row>
    <row r="45" spans="1:7" s="51" customFormat="1" ht="27" customHeight="1">
      <c r="A45" s="45">
        <v>41</v>
      </c>
      <c r="B45" s="48" t="s">
        <v>135</v>
      </c>
      <c r="C45" s="45" t="s">
        <v>136</v>
      </c>
      <c r="D45" s="45" t="s">
        <v>14</v>
      </c>
      <c r="E45" s="48" t="s">
        <v>154</v>
      </c>
      <c r="F45" s="49">
        <v>540000</v>
      </c>
      <c r="G45" s="50">
        <v>1</v>
      </c>
    </row>
    <row r="46" spans="1:7" s="51" customFormat="1" ht="27" customHeight="1">
      <c r="A46" s="45">
        <v>42</v>
      </c>
      <c r="B46" s="48" t="s">
        <v>214</v>
      </c>
      <c r="C46" s="45" t="s">
        <v>215</v>
      </c>
      <c r="D46" s="45" t="s">
        <v>15</v>
      </c>
      <c r="E46" s="48" t="s">
        <v>250</v>
      </c>
      <c r="F46" s="49">
        <v>540000</v>
      </c>
      <c r="G46" s="50">
        <v>1</v>
      </c>
    </row>
    <row r="47" spans="1:7" s="51" customFormat="1" ht="27" customHeight="1">
      <c r="A47" s="45">
        <v>43</v>
      </c>
      <c r="B47" s="48" t="s">
        <v>218</v>
      </c>
      <c r="C47" s="45" t="s">
        <v>210</v>
      </c>
      <c r="D47" s="45" t="s">
        <v>15</v>
      </c>
      <c r="E47" s="48" t="s">
        <v>251</v>
      </c>
      <c r="F47" s="49">
        <v>540000</v>
      </c>
      <c r="G47" s="50">
        <v>1</v>
      </c>
    </row>
    <row r="48" spans="1:7" s="51" customFormat="1" ht="27" customHeight="1">
      <c r="A48" s="45">
        <v>44</v>
      </c>
      <c r="B48" s="48" t="s">
        <v>243</v>
      </c>
      <c r="C48" s="45" t="s">
        <v>210</v>
      </c>
      <c r="D48" s="45" t="s">
        <v>15</v>
      </c>
      <c r="E48" s="48" t="s">
        <v>252</v>
      </c>
      <c r="F48" s="49">
        <v>540000</v>
      </c>
      <c r="G48" s="50">
        <v>1</v>
      </c>
    </row>
    <row r="49" spans="1:7" s="51" customFormat="1" ht="27" customHeight="1">
      <c r="A49" s="45">
        <v>45</v>
      </c>
      <c r="B49" s="48" t="s">
        <v>244</v>
      </c>
      <c r="C49" s="45" t="s">
        <v>245</v>
      </c>
      <c r="D49" s="45" t="s">
        <v>15</v>
      </c>
      <c r="E49" s="48" t="s">
        <v>252</v>
      </c>
      <c r="F49" s="49">
        <v>540000</v>
      </c>
      <c r="G49" s="50">
        <v>1</v>
      </c>
    </row>
    <row r="50" spans="1:7" s="51" customFormat="1" ht="27" customHeight="1">
      <c r="A50" s="45">
        <v>46</v>
      </c>
      <c r="B50" s="48" t="s">
        <v>246</v>
      </c>
      <c r="C50" s="45" t="s">
        <v>247</v>
      </c>
      <c r="D50" s="45" t="s">
        <v>15</v>
      </c>
      <c r="E50" s="48" t="s">
        <v>253</v>
      </c>
      <c r="F50" s="49">
        <v>540000</v>
      </c>
      <c r="G50" s="50">
        <v>1</v>
      </c>
    </row>
    <row r="51" spans="1:7" s="51" customFormat="1" ht="27" customHeight="1">
      <c r="A51" s="45">
        <v>47</v>
      </c>
      <c r="B51" s="48" t="s">
        <v>209</v>
      </c>
      <c r="C51" s="45" t="s">
        <v>210</v>
      </c>
      <c r="D51" s="45" t="s">
        <v>15</v>
      </c>
      <c r="E51" s="48" t="s">
        <v>254</v>
      </c>
      <c r="F51" s="49">
        <v>540000</v>
      </c>
      <c r="G51" s="50">
        <v>1</v>
      </c>
    </row>
    <row r="52" spans="1:7" s="51" customFormat="1" ht="31.5" customHeight="1">
      <c r="A52" s="45">
        <v>48</v>
      </c>
      <c r="B52" s="48" t="s">
        <v>211</v>
      </c>
      <c r="C52" s="45" t="s">
        <v>210</v>
      </c>
      <c r="D52" s="45" t="s">
        <v>15</v>
      </c>
      <c r="E52" s="48" t="s">
        <v>161</v>
      </c>
      <c r="F52" s="49">
        <v>540000</v>
      </c>
      <c r="G52" s="50">
        <v>1</v>
      </c>
    </row>
    <row r="53" spans="1:7" s="51" customFormat="1" ht="39.75" customHeight="1">
      <c r="A53" s="45">
        <v>49</v>
      </c>
      <c r="B53" s="48" t="s">
        <v>212</v>
      </c>
      <c r="C53" s="45" t="s">
        <v>210</v>
      </c>
      <c r="D53" s="45" t="s">
        <v>15</v>
      </c>
      <c r="E53" s="48" t="s">
        <v>161</v>
      </c>
      <c r="F53" s="49">
        <v>540000</v>
      </c>
      <c r="G53" s="50">
        <v>1</v>
      </c>
    </row>
    <row r="54" spans="1:7" s="51" customFormat="1" ht="33.75" customHeight="1">
      <c r="A54" s="45">
        <v>50</v>
      </c>
      <c r="B54" s="48" t="s">
        <v>213</v>
      </c>
      <c r="C54" s="45" t="s">
        <v>210</v>
      </c>
      <c r="D54" s="45" t="s">
        <v>15</v>
      </c>
      <c r="E54" s="48" t="s">
        <v>161</v>
      </c>
      <c r="F54" s="49">
        <v>540000</v>
      </c>
      <c r="G54" s="50">
        <v>1</v>
      </c>
    </row>
    <row r="55" spans="1:7" s="51" customFormat="1" ht="27" customHeight="1">
      <c r="A55" s="45">
        <v>51</v>
      </c>
      <c r="B55" s="48" t="s">
        <v>217</v>
      </c>
      <c r="C55" s="45" t="s">
        <v>215</v>
      </c>
      <c r="D55" s="45" t="s">
        <v>15</v>
      </c>
      <c r="E55" s="48" t="s">
        <v>255</v>
      </c>
      <c r="F55" s="49">
        <v>540000</v>
      </c>
      <c r="G55" s="50">
        <v>1</v>
      </c>
    </row>
    <row r="56" spans="1:7" s="51" customFormat="1" ht="27" customHeight="1">
      <c r="A56" s="45">
        <v>52</v>
      </c>
      <c r="B56" s="48" t="s">
        <v>216</v>
      </c>
      <c r="C56" s="45" t="s">
        <v>210</v>
      </c>
      <c r="D56" s="45" t="s">
        <v>15</v>
      </c>
      <c r="E56" s="48" t="s">
        <v>254</v>
      </c>
      <c r="F56" s="49">
        <v>540000</v>
      </c>
      <c r="G56" s="50">
        <v>1</v>
      </c>
    </row>
    <row r="57" spans="1:7" s="51" customFormat="1" ht="35.25" customHeight="1">
      <c r="A57" s="45">
        <v>53</v>
      </c>
      <c r="B57" s="48" t="s">
        <v>242</v>
      </c>
      <c r="C57" s="45" t="s">
        <v>127</v>
      </c>
      <c r="D57" s="45" t="s">
        <v>15</v>
      </c>
      <c r="E57" s="48" t="s">
        <v>256</v>
      </c>
      <c r="F57" s="49">
        <v>540000</v>
      </c>
      <c r="G57" s="50">
        <v>1</v>
      </c>
    </row>
    <row r="58" spans="1:7" s="51" customFormat="1" ht="27" customHeight="1">
      <c r="A58" s="45">
        <v>54</v>
      </c>
      <c r="B58" s="48" t="s">
        <v>238</v>
      </c>
      <c r="C58" s="45" t="s">
        <v>239</v>
      </c>
      <c r="D58" s="45" t="s">
        <v>15</v>
      </c>
      <c r="E58" s="48" t="s">
        <v>257</v>
      </c>
      <c r="F58" s="49">
        <v>540000</v>
      </c>
      <c r="G58" s="50">
        <v>1</v>
      </c>
    </row>
    <row r="59" spans="1:7" s="51" customFormat="1" ht="27" customHeight="1">
      <c r="A59" s="45">
        <v>55</v>
      </c>
      <c r="B59" s="48" t="s">
        <v>226</v>
      </c>
      <c r="C59" s="45" t="s">
        <v>210</v>
      </c>
      <c r="D59" s="45" t="s">
        <v>15</v>
      </c>
      <c r="E59" s="48" t="s">
        <v>258</v>
      </c>
      <c r="F59" s="49">
        <v>540000</v>
      </c>
      <c r="G59" s="50">
        <v>1</v>
      </c>
    </row>
    <row r="60" spans="1:7" s="51" customFormat="1" ht="27" customHeight="1">
      <c r="A60" s="45">
        <v>56</v>
      </c>
      <c r="B60" s="48" t="s">
        <v>227</v>
      </c>
      <c r="C60" s="45" t="s">
        <v>92</v>
      </c>
      <c r="D60" s="45" t="s">
        <v>15</v>
      </c>
      <c r="E60" s="48" t="s">
        <v>258</v>
      </c>
      <c r="F60" s="49">
        <v>540000</v>
      </c>
      <c r="G60" s="50">
        <v>1</v>
      </c>
    </row>
    <row r="61" spans="1:7" s="51" customFormat="1" ht="27" customHeight="1">
      <c r="A61" s="45">
        <v>57</v>
      </c>
      <c r="B61" s="48" t="s">
        <v>228</v>
      </c>
      <c r="C61" s="45" t="s">
        <v>215</v>
      </c>
      <c r="D61" s="45" t="s">
        <v>15</v>
      </c>
      <c r="E61" s="48" t="s">
        <v>259</v>
      </c>
      <c r="F61" s="49">
        <v>540000</v>
      </c>
      <c r="G61" s="50">
        <v>1</v>
      </c>
    </row>
    <row r="62" spans="1:7" s="51" customFormat="1" ht="27" customHeight="1">
      <c r="A62" s="45">
        <v>58</v>
      </c>
      <c r="B62" s="48" t="s">
        <v>229</v>
      </c>
      <c r="C62" s="45" t="s">
        <v>215</v>
      </c>
      <c r="D62" s="45" t="s">
        <v>15</v>
      </c>
      <c r="E62" s="48" t="s">
        <v>260</v>
      </c>
      <c r="F62" s="49">
        <v>540000</v>
      </c>
      <c r="G62" s="50">
        <v>1</v>
      </c>
    </row>
    <row r="63" spans="1:7" s="51" customFormat="1" ht="27" customHeight="1">
      <c r="A63" s="45">
        <v>59</v>
      </c>
      <c r="B63" s="48" t="s">
        <v>230</v>
      </c>
      <c r="C63" s="45" t="s">
        <v>215</v>
      </c>
      <c r="D63" s="45" t="s">
        <v>15</v>
      </c>
      <c r="E63" s="48" t="s">
        <v>261</v>
      </c>
      <c r="F63" s="49">
        <v>540000</v>
      </c>
      <c r="G63" s="50">
        <v>1</v>
      </c>
    </row>
    <row r="64" spans="1:7" s="51" customFormat="1" ht="33" customHeight="1">
      <c r="A64" s="45">
        <v>60</v>
      </c>
      <c r="B64" s="48" t="s">
        <v>231</v>
      </c>
      <c r="C64" s="45" t="s">
        <v>215</v>
      </c>
      <c r="D64" s="45" t="s">
        <v>15</v>
      </c>
      <c r="E64" s="48" t="s">
        <v>260</v>
      </c>
      <c r="F64" s="49">
        <v>540000</v>
      </c>
      <c r="G64" s="50">
        <v>1</v>
      </c>
    </row>
    <row r="65" spans="1:7" s="51" customFormat="1" ht="30" customHeight="1">
      <c r="A65" s="45">
        <v>61</v>
      </c>
      <c r="B65" s="48" t="s">
        <v>232</v>
      </c>
      <c r="C65" s="45" t="s">
        <v>215</v>
      </c>
      <c r="D65" s="45" t="s">
        <v>15</v>
      </c>
      <c r="E65" s="48" t="s">
        <v>262</v>
      </c>
      <c r="F65" s="49">
        <v>540000</v>
      </c>
      <c r="G65" s="50">
        <v>1</v>
      </c>
    </row>
    <row r="66" spans="1:7" s="51" customFormat="1" ht="33.75" customHeight="1">
      <c r="A66" s="45">
        <v>62</v>
      </c>
      <c r="B66" s="48" t="s">
        <v>233</v>
      </c>
      <c r="C66" s="45" t="s">
        <v>215</v>
      </c>
      <c r="D66" s="45" t="s">
        <v>15</v>
      </c>
      <c r="E66" s="48" t="s">
        <v>263</v>
      </c>
      <c r="F66" s="49">
        <v>540000</v>
      </c>
      <c r="G66" s="50">
        <v>1</v>
      </c>
    </row>
    <row r="67" spans="1:7" s="51" customFormat="1" ht="32.25" customHeight="1">
      <c r="A67" s="45">
        <v>63</v>
      </c>
      <c r="B67" s="48" t="s">
        <v>234</v>
      </c>
      <c r="C67" s="45" t="s">
        <v>215</v>
      </c>
      <c r="D67" s="45" t="s">
        <v>15</v>
      </c>
      <c r="E67" s="48" t="s">
        <v>264</v>
      </c>
      <c r="F67" s="49">
        <v>540000</v>
      </c>
      <c r="G67" s="50">
        <v>1</v>
      </c>
    </row>
    <row r="68" spans="1:7" s="51" customFormat="1" ht="27" customHeight="1">
      <c r="A68" s="45">
        <v>64</v>
      </c>
      <c r="B68" s="48" t="s">
        <v>235</v>
      </c>
      <c r="C68" s="45" t="s">
        <v>92</v>
      </c>
      <c r="D68" s="45" t="s">
        <v>15</v>
      </c>
      <c r="E68" s="48" t="s">
        <v>265</v>
      </c>
      <c r="F68" s="49">
        <v>540000</v>
      </c>
      <c r="G68" s="50">
        <v>1</v>
      </c>
    </row>
    <row r="69" spans="1:7" s="51" customFormat="1" ht="27" customHeight="1">
      <c r="A69" s="45">
        <v>65</v>
      </c>
      <c r="B69" s="48" t="s">
        <v>236</v>
      </c>
      <c r="C69" s="45" t="s">
        <v>136</v>
      </c>
      <c r="D69" s="45" t="s">
        <v>15</v>
      </c>
      <c r="E69" s="48" t="s">
        <v>266</v>
      </c>
      <c r="F69" s="49">
        <v>540000</v>
      </c>
      <c r="G69" s="50">
        <v>1</v>
      </c>
    </row>
    <row r="70" spans="1:7" s="51" customFormat="1" ht="27" customHeight="1">
      <c r="A70" s="45">
        <v>66</v>
      </c>
      <c r="B70" s="48" t="s">
        <v>237</v>
      </c>
      <c r="C70" s="45" t="s">
        <v>136</v>
      </c>
      <c r="D70" s="45" t="s">
        <v>15</v>
      </c>
      <c r="E70" s="48" t="s">
        <v>266</v>
      </c>
      <c r="F70" s="49">
        <v>540000</v>
      </c>
      <c r="G70" s="50">
        <v>1</v>
      </c>
    </row>
    <row r="71" spans="1:7" s="51" customFormat="1" ht="27" customHeight="1">
      <c r="A71" s="45">
        <v>67</v>
      </c>
      <c r="B71" s="48" t="s">
        <v>240</v>
      </c>
      <c r="C71" s="45" t="s">
        <v>241</v>
      </c>
      <c r="D71" s="45" t="s">
        <v>15</v>
      </c>
      <c r="E71" s="48" t="s">
        <v>267</v>
      </c>
      <c r="F71" s="49">
        <v>540000</v>
      </c>
      <c r="G71" s="50">
        <v>1</v>
      </c>
    </row>
    <row r="72" spans="1:7" s="51" customFormat="1" ht="27" customHeight="1">
      <c r="A72" s="45">
        <v>68</v>
      </c>
      <c r="B72" s="48" t="s">
        <v>248</v>
      </c>
      <c r="C72" s="45" t="s">
        <v>249</v>
      </c>
      <c r="D72" s="45" t="s">
        <v>15</v>
      </c>
      <c r="E72" s="48" t="s">
        <v>268</v>
      </c>
      <c r="F72" s="49">
        <v>540000</v>
      </c>
      <c r="G72" s="50">
        <v>1</v>
      </c>
    </row>
    <row r="73" spans="1:7" s="51" customFormat="1" ht="33.75" customHeight="1">
      <c r="A73" s="45">
        <v>69</v>
      </c>
      <c r="B73" s="48" t="s">
        <v>219</v>
      </c>
      <c r="C73" s="45" t="s">
        <v>220</v>
      </c>
      <c r="D73" s="45" t="s">
        <v>15</v>
      </c>
      <c r="E73" s="48" t="s">
        <v>269</v>
      </c>
      <c r="F73" s="49">
        <v>540000</v>
      </c>
      <c r="G73" s="50">
        <v>1</v>
      </c>
    </row>
    <row r="74" spans="1:7" s="51" customFormat="1" ht="33.75" customHeight="1">
      <c r="A74" s="45">
        <v>70</v>
      </c>
      <c r="B74" s="48" t="s">
        <v>221</v>
      </c>
      <c r="C74" s="45" t="s">
        <v>92</v>
      </c>
      <c r="D74" s="45" t="s">
        <v>15</v>
      </c>
      <c r="E74" s="48" t="s">
        <v>270</v>
      </c>
      <c r="F74" s="49">
        <v>540000</v>
      </c>
      <c r="G74" s="50">
        <v>1</v>
      </c>
    </row>
    <row r="75" spans="1:7" s="51" customFormat="1" ht="37.5" customHeight="1">
      <c r="A75" s="45">
        <v>71</v>
      </c>
      <c r="B75" s="48" t="s">
        <v>222</v>
      </c>
      <c r="C75" s="45" t="s">
        <v>223</v>
      </c>
      <c r="D75" s="45" t="s">
        <v>15</v>
      </c>
      <c r="E75" s="48" t="s">
        <v>271</v>
      </c>
      <c r="F75" s="49">
        <v>540000</v>
      </c>
      <c r="G75" s="50">
        <v>1</v>
      </c>
    </row>
    <row r="76" spans="1:7" s="51" customFormat="1" ht="35.25" customHeight="1">
      <c r="A76" s="45">
        <v>72</v>
      </c>
      <c r="B76" s="48" t="s">
        <v>224</v>
      </c>
      <c r="C76" s="45" t="s">
        <v>223</v>
      </c>
      <c r="D76" s="45" t="s">
        <v>15</v>
      </c>
      <c r="E76" s="48" t="s">
        <v>271</v>
      </c>
      <c r="F76" s="49">
        <v>540000</v>
      </c>
      <c r="G76" s="50">
        <v>1</v>
      </c>
    </row>
    <row r="77" spans="1:7" s="51" customFormat="1" ht="33" customHeight="1">
      <c r="A77" s="45">
        <v>73</v>
      </c>
      <c r="B77" s="48" t="s">
        <v>225</v>
      </c>
      <c r="C77" s="45" t="s">
        <v>223</v>
      </c>
      <c r="D77" s="45" t="s">
        <v>15</v>
      </c>
      <c r="E77" s="48" t="s">
        <v>272</v>
      </c>
      <c r="F77" s="49">
        <v>540000</v>
      </c>
      <c r="G77" s="50">
        <v>1</v>
      </c>
    </row>
    <row r="78" spans="1:7" s="51" customFormat="1" ht="34.5" customHeight="1">
      <c r="A78" s="45">
        <v>74</v>
      </c>
      <c r="B78" s="52" t="s">
        <v>294</v>
      </c>
      <c r="C78" s="53" t="s">
        <v>223</v>
      </c>
      <c r="D78" s="53" t="s">
        <v>16</v>
      </c>
      <c r="E78" s="52" t="s">
        <v>310</v>
      </c>
      <c r="F78" s="49">
        <v>540000</v>
      </c>
      <c r="G78" s="50">
        <v>1</v>
      </c>
    </row>
    <row r="79" spans="1:7" s="51" customFormat="1" ht="36" customHeight="1">
      <c r="A79" s="45">
        <v>75</v>
      </c>
      <c r="B79" s="52" t="s">
        <v>295</v>
      </c>
      <c r="C79" s="53" t="s">
        <v>223</v>
      </c>
      <c r="D79" s="53" t="s">
        <v>16</v>
      </c>
      <c r="E79" s="52" t="s">
        <v>310</v>
      </c>
      <c r="F79" s="49">
        <v>540000</v>
      </c>
      <c r="G79" s="50">
        <v>1</v>
      </c>
    </row>
    <row r="80" spans="1:7" s="51" customFormat="1" ht="27" customHeight="1">
      <c r="A80" s="45">
        <v>76</v>
      </c>
      <c r="B80" s="52" t="s">
        <v>296</v>
      </c>
      <c r="C80" s="53" t="s">
        <v>223</v>
      </c>
      <c r="D80" s="53" t="s">
        <v>16</v>
      </c>
      <c r="E80" s="52" t="s">
        <v>314</v>
      </c>
      <c r="F80" s="49">
        <v>540000</v>
      </c>
      <c r="G80" s="50">
        <v>1</v>
      </c>
    </row>
    <row r="81" spans="1:7" s="51" customFormat="1" ht="33" customHeight="1">
      <c r="A81" s="45">
        <v>77</v>
      </c>
      <c r="B81" s="52" t="s">
        <v>297</v>
      </c>
      <c r="C81" s="53" t="s">
        <v>298</v>
      </c>
      <c r="D81" s="53" t="s">
        <v>16</v>
      </c>
      <c r="E81" s="52" t="s">
        <v>315</v>
      </c>
      <c r="F81" s="49">
        <v>540000</v>
      </c>
      <c r="G81" s="50">
        <v>1</v>
      </c>
    </row>
    <row r="82" spans="1:7" s="51" customFormat="1" ht="33" customHeight="1">
      <c r="A82" s="45">
        <v>78</v>
      </c>
      <c r="B82" s="52" t="s">
        <v>299</v>
      </c>
      <c r="C82" s="53" t="s">
        <v>298</v>
      </c>
      <c r="D82" s="53" t="s">
        <v>16</v>
      </c>
      <c r="E82" s="52" t="s">
        <v>315</v>
      </c>
      <c r="F82" s="49">
        <v>540000</v>
      </c>
      <c r="G82" s="50">
        <v>1</v>
      </c>
    </row>
    <row r="83" spans="1:7" s="51" customFormat="1" ht="35.25" customHeight="1">
      <c r="A83" s="45">
        <v>79</v>
      </c>
      <c r="B83" s="52" t="s">
        <v>300</v>
      </c>
      <c r="C83" s="53" t="s">
        <v>223</v>
      </c>
      <c r="D83" s="53" t="s">
        <v>16</v>
      </c>
      <c r="E83" s="52" t="s">
        <v>311</v>
      </c>
      <c r="F83" s="49">
        <v>540000</v>
      </c>
      <c r="G83" s="50">
        <v>1</v>
      </c>
    </row>
    <row r="84" spans="1:7" s="51" customFormat="1" ht="35.25" customHeight="1">
      <c r="A84" s="45">
        <v>80</v>
      </c>
      <c r="B84" s="52" t="s">
        <v>301</v>
      </c>
      <c r="C84" s="53" t="s">
        <v>223</v>
      </c>
      <c r="D84" s="53" t="s">
        <v>16</v>
      </c>
      <c r="E84" s="52" t="s">
        <v>311</v>
      </c>
      <c r="F84" s="49">
        <v>540000</v>
      </c>
      <c r="G84" s="50">
        <v>1</v>
      </c>
    </row>
    <row r="85" spans="1:7" s="51" customFormat="1" ht="27" customHeight="1">
      <c r="A85" s="45">
        <v>81</v>
      </c>
      <c r="B85" s="52" t="s">
        <v>302</v>
      </c>
      <c r="C85" s="53" t="s">
        <v>215</v>
      </c>
      <c r="D85" s="53" t="s">
        <v>16</v>
      </c>
      <c r="E85" s="52" t="s">
        <v>316</v>
      </c>
      <c r="F85" s="49">
        <v>540000</v>
      </c>
      <c r="G85" s="50">
        <v>1</v>
      </c>
    </row>
    <row r="86" spans="1:7" s="51" customFormat="1" ht="27" customHeight="1">
      <c r="A86" s="45">
        <v>82</v>
      </c>
      <c r="B86" s="52" t="s">
        <v>303</v>
      </c>
      <c r="C86" s="53" t="s">
        <v>215</v>
      </c>
      <c r="D86" s="53" t="s">
        <v>16</v>
      </c>
      <c r="E86" s="52" t="s">
        <v>312</v>
      </c>
      <c r="F86" s="49">
        <v>540000</v>
      </c>
      <c r="G86" s="50">
        <v>1</v>
      </c>
    </row>
    <row r="87" spans="1:7" s="51" customFormat="1" ht="27" customHeight="1">
      <c r="A87" s="45">
        <v>83</v>
      </c>
      <c r="B87" s="52" t="s">
        <v>304</v>
      </c>
      <c r="C87" s="53" t="s">
        <v>241</v>
      </c>
      <c r="D87" s="53" t="s">
        <v>16</v>
      </c>
      <c r="E87" s="52" t="s">
        <v>317</v>
      </c>
      <c r="F87" s="49">
        <v>540000</v>
      </c>
      <c r="G87" s="50">
        <v>1</v>
      </c>
    </row>
    <row r="88" spans="1:7" s="51" customFormat="1" ht="27" customHeight="1">
      <c r="A88" s="45">
        <v>84</v>
      </c>
      <c r="B88" s="52" t="s">
        <v>305</v>
      </c>
      <c r="C88" s="53" t="s">
        <v>298</v>
      </c>
      <c r="D88" s="53" t="s">
        <v>16</v>
      </c>
      <c r="E88" s="52" t="s">
        <v>318</v>
      </c>
      <c r="F88" s="49">
        <v>540000</v>
      </c>
      <c r="G88" s="50">
        <v>1</v>
      </c>
    </row>
    <row r="89" spans="1:7" s="51" customFormat="1" ht="27" customHeight="1">
      <c r="A89" s="45">
        <v>85</v>
      </c>
      <c r="B89" s="52" t="s">
        <v>306</v>
      </c>
      <c r="C89" s="53" t="s">
        <v>220</v>
      </c>
      <c r="D89" s="53" t="s">
        <v>16</v>
      </c>
      <c r="E89" s="52" t="s">
        <v>313</v>
      </c>
      <c r="F89" s="49">
        <v>540000</v>
      </c>
      <c r="G89" s="50">
        <v>1</v>
      </c>
    </row>
    <row r="90" spans="1:7" s="51" customFormat="1" ht="27" customHeight="1">
      <c r="A90" s="45">
        <v>86</v>
      </c>
      <c r="B90" s="52" t="s">
        <v>307</v>
      </c>
      <c r="C90" s="53" t="s">
        <v>210</v>
      </c>
      <c r="D90" s="53" t="s">
        <v>16</v>
      </c>
      <c r="E90" s="52" t="s">
        <v>319</v>
      </c>
      <c r="F90" s="49">
        <v>540000</v>
      </c>
      <c r="G90" s="50">
        <v>1</v>
      </c>
    </row>
    <row r="91" spans="1:7" s="51" customFormat="1" ht="35.25" customHeight="1">
      <c r="A91" s="45">
        <v>87</v>
      </c>
      <c r="B91" s="52" t="s">
        <v>308</v>
      </c>
      <c r="C91" s="53" t="s">
        <v>298</v>
      </c>
      <c r="D91" s="53" t="s">
        <v>16</v>
      </c>
      <c r="E91" s="52" t="s">
        <v>320</v>
      </c>
      <c r="F91" s="49">
        <v>540000</v>
      </c>
      <c r="G91" s="50">
        <v>1</v>
      </c>
    </row>
    <row r="92" spans="1:7" s="51" customFormat="1" ht="27" customHeight="1">
      <c r="A92" s="45">
        <v>88</v>
      </c>
      <c r="B92" s="52" t="s">
        <v>309</v>
      </c>
      <c r="C92" s="54" t="s">
        <v>220</v>
      </c>
      <c r="D92" s="53" t="s">
        <v>16</v>
      </c>
      <c r="E92" s="52" t="s">
        <v>321</v>
      </c>
      <c r="F92" s="49">
        <v>540000</v>
      </c>
      <c r="G92" s="50">
        <v>1</v>
      </c>
    </row>
    <row r="93" spans="1:7" s="51" customFormat="1" ht="48" customHeight="1">
      <c r="A93" s="45">
        <v>89</v>
      </c>
      <c r="B93" s="48" t="s">
        <v>322</v>
      </c>
      <c r="C93" s="45" t="s">
        <v>792</v>
      </c>
      <c r="D93" s="45" t="s">
        <v>323</v>
      </c>
      <c r="E93" s="48" t="s">
        <v>779</v>
      </c>
      <c r="F93" s="49">
        <v>540000</v>
      </c>
      <c r="G93" s="50">
        <v>1</v>
      </c>
    </row>
    <row r="94" spans="1:7" s="51" customFormat="1" ht="27" customHeight="1">
      <c r="A94" s="45">
        <v>90</v>
      </c>
      <c r="B94" s="48" t="s">
        <v>329</v>
      </c>
      <c r="C94" s="45" t="s">
        <v>330</v>
      </c>
      <c r="D94" s="45" t="s">
        <v>10</v>
      </c>
      <c r="E94" s="48" t="s">
        <v>346</v>
      </c>
      <c r="F94" s="49">
        <v>540000</v>
      </c>
      <c r="G94" s="50">
        <v>1</v>
      </c>
    </row>
    <row r="95" spans="1:7" s="51" customFormat="1" ht="27" customHeight="1">
      <c r="A95" s="45">
        <v>91</v>
      </c>
      <c r="B95" s="48" t="s">
        <v>331</v>
      </c>
      <c r="C95" s="45" t="s">
        <v>332</v>
      </c>
      <c r="D95" s="45" t="s">
        <v>10</v>
      </c>
      <c r="E95" s="48" t="s">
        <v>346</v>
      </c>
      <c r="F95" s="49">
        <v>540000</v>
      </c>
      <c r="G95" s="50">
        <v>1</v>
      </c>
    </row>
    <row r="96" spans="1:7" s="51" customFormat="1" ht="27" customHeight="1">
      <c r="A96" s="45">
        <v>92</v>
      </c>
      <c r="B96" s="46" t="s">
        <v>333</v>
      </c>
      <c r="C96" s="55" t="s">
        <v>378</v>
      </c>
      <c r="D96" s="45" t="s">
        <v>10</v>
      </c>
      <c r="E96" s="48" t="s">
        <v>347</v>
      </c>
      <c r="F96" s="49">
        <v>540000</v>
      </c>
      <c r="G96" s="50">
        <v>1</v>
      </c>
    </row>
    <row r="97" spans="1:7" s="51" customFormat="1" ht="27" customHeight="1">
      <c r="A97" s="45">
        <v>93</v>
      </c>
      <c r="B97" s="46" t="s">
        <v>335</v>
      </c>
      <c r="C97" s="45" t="s">
        <v>336</v>
      </c>
      <c r="D97" s="45" t="s">
        <v>10</v>
      </c>
      <c r="E97" s="48" t="s">
        <v>348</v>
      </c>
      <c r="F97" s="49">
        <v>540000</v>
      </c>
      <c r="G97" s="50">
        <v>1</v>
      </c>
    </row>
    <row r="98" spans="1:7" s="51" customFormat="1" ht="27" customHeight="1">
      <c r="A98" s="45">
        <v>94</v>
      </c>
      <c r="B98" s="46" t="s">
        <v>337</v>
      </c>
      <c r="C98" s="45" t="s">
        <v>338</v>
      </c>
      <c r="D98" s="45" t="s">
        <v>10</v>
      </c>
      <c r="E98" s="48" t="s">
        <v>348</v>
      </c>
      <c r="F98" s="49">
        <v>540000</v>
      </c>
      <c r="G98" s="50">
        <v>1</v>
      </c>
    </row>
    <row r="99" spans="1:7" s="51" customFormat="1" ht="27" customHeight="1">
      <c r="A99" s="45">
        <v>95</v>
      </c>
      <c r="B99" s="48" t="s">
        <v>339</v>
      </c>
      <c r="C99" s="45" t="s">
        <v>338</v>
      </c>
      <c r="D99" s="45" t="s">
        <v>10</v>
      </c>
      <c r="E99" s="48" t="s">
        <v>349</v>
      </c>
      <c r="F99" s="49">
        <v>540000</v>
      </c>
      <c r="G99" s="50">
        <v>1</v>
      </c>
    </row>
    <row r="100" spans="1:7" s="51" customFormat="1" ht="36" customHeight="1">
      <c r="A100" s="45">
        <v>96</v>
      </c>
      <c r="B100" s="46" t="s">
        <v>340</v>
      </c>
      <c r="C100" s="45" t="s">
        <v>330</v>
      </c>
      <c r="D100" s="45" t="s">
        <v>10</v>
      </c>
      <c r="E100" s="48" t="s">
        <v>350</v>
      </c>
      <c r="F100" s="49">
        <v>540000</v>
      </c>
      <c r="G100" s="50">
        <v>1</v>
      </c>
    </row>
    <row r="101" spans="1:7" s="51" customFormat="1" ht="27" customHeight="1">
      <c r="A101" s="45">
        <v>97</v>
      </c>
      <c r="B101" s="46" t="s">
        <v>341</v>
      </c>
      <c r="C101" s="45" t="s">
        <v>342</v>
      </c>
      <c r="D101" s="45" t="s">
        <v>10</v>
      </c>
      <c r="E101" s="48" t="s">
        <v>453</v>
      </c>
      <c r="F101" s="49">
        <v>540000</v>
      </c>
      <c r="G101" s="50">
        <v>1</v>
      </c>
    </row>
    <row r="102" spans="1:7" s="51" customFormat="1" ht="27" customHeight="1">
      <c r="A102" s="45">
        <v>98</v>
      </c>
      <c r="B102" s="46" t="s">
        <v>343</v>
      </c>
      <c r="C102" s="45" t="s">
        <v>342</v>
      </c>
      <c r="D102" s="45" t="s">
        <v>10</v>
      </c>
      <c r="E102" s="48" t="s">
        <v>453</v>
      </c>
      <c r="F102" s="49">
        <v>540000</v>
      </c>
      <c r="G102" s="50">
        <v>1</v>
      </c>
    </row>
    <row r="103" spans="1:7" s="51" customFormat="1" ht="27" customHeight="1">
      <c r="A103" s="45">
        <v>99</v>
      </c>
      <c r="B103" s="46" t="s">
        <v>344</v>
      </c>
      <c r="C103" s="45" t="s">
        <v>342</v>
      </c>
      <c r="D103" s="45" t="s">
        <v>10</v>
      </c>
      <c r="E103" s="48" t="s">
        <v>351</v>
      </c>
      <c r="F103" s="49">
        <v>540000</v>
      </c>
      <c r="G103" s="50">
        <v>1</v>
      </c>
    </row>
    <row r="104" spans="1:7" s="51" customFormat="1" ht="27" customHeight="1">
      <c r="A104" s="45">
        <v>100</v>
      </c>
      <c r="B104" s="46" t="s">
        <v>345</v>
      </c>
      <c r="C104" s="45" t="s">
        <v>342</v>
      </c>
      <c r="D104" s="45" t="s">
        <v>10</v>
      </c>
      <c r="E104" s="48" t="s">
        <v>352</v>
      </c>
      <c r="F104" s="49">
        <v>540000</v>
      </c>
      <c r="G104" s="50">
        <v>1</v>
      </c>
    </row>
    <row r="105" spans="1:7" s="51" customFormat="1" ht="27" customHeight="1">
      <c r="A105" s="45">
        <v>101</v>
      </c>
      <c r="B105" s="48" t="s">
        <v>358</v>
      </c>
      <c r="C105" s="45" t="s">
        <v>336</v>
      </c>
      <c r="D105" s="45" t="s">
        <v>11</v>
      </c>
      <c r="E105" s="48" t="s">
        <v>362</v>
      </c>
      <c r="F105" s="49">
        <v>540000</v>
      </c>
      <c r="G105" s="50">
        <v>1</v>
      </c>
    </row>
    <row r="106" spans="1:7" s="51" customFormat="1" ht="34.5" customHeight="1">
      <c r="A106" s="45">
        <v>102</v>
      </c>
      <c r="B106" s="48" t="s">
        <v>359</v>
      </c>
      <c r="C106" s="45" t="s">
        <v>336</v>
      </c>
      <c r="D106" s="45" t="s">
        <v>11</v>
      </c>
      <c r="E106" s="48" t="s">
        <v>363</v>
      </c>
      <c r="F106" s="49">
        <v>540000</v>
      </c>
      <c r="G106" s="50">
        <v>1</v>
      </c>
    </row>
    <row r="107" spans="1:7" s="51" customFormat="1" ht="27" customHeight="1">
      <c r="A107" s="45">
        <v>103</v>
      </c>
      <c r="B107" s="48" t="s">
        <v>360</v>
      </c>
      <c r="C107" s="47" t="s">
        <v>361</v>
      </c>
      <c r="D107" s="47" t="s">
        <v>11</v>
      </c>
      <c r="E107" s="48" t="s">
        <v>151</v>
      </c>
      <c r="F107" s="49">
        <v>540000</v>
      </c>
      <c r="G107" s="50">
        <v>1</v>
      </c>
    </row>
    <row r="108" spans="1:7" s="51" customFormat="1" ht="27" customHeight="1">
      <c r="A108" s="45">
        <v>104</v>
      </c>
      <c r="B108" s="48" t="s">
        <v>366</v>
      </c>
      <c r="C108" s="45" t="s">
        <v>367</v>
      </c>
      <c r="D108" s="45" t="s">
        <v>12</v>
      </c>
      <c r="E108" s="48" t="s">
        <v>369</v>
      </c>
      <c r="F108" s="49">
        <v>540000</v>
      </c>
      <c r="G108" s="50">
        <v>1</v>
      </c>
    </row>
    <row r="109" spans="1:7" s="51" customFormat="1" ht="27" customHeight="1">
      <c r="A109" s="45">
        <v>105</v>
      </c>
      <c r="B109" s="48" t="s">
        <v>368</v>
      </c>
      <c r="C109" s="45" t="s">
        <v>334</v>
      </c>
      <c r="D109" s="45" t="s">
        <v>12</v>
      </c>
      <c r="E109" s="48" t="s">
        <v>370</v>
      </c>
      <c r="F109" s="49">
        <v>540000</v>
      </c>
      <c r="G109" s="50">
        <v>1</v>
      </c>
    </row>
    <row r="110" spans="1:7" s="51" customFormat="1" ht="36.75" customHeight="1">
      <c r="A110" s="45">
        <v>106</v>
      </c>
      <c r="B110" s="48" t="s">
        <v>376</v>
      </c>
      <c r="C110" s="45" t="s">
        <v>330</v>
      </c>
      <c r="D110" s="45" t="s">
        <v>13</v>
      </c>
      <c r="E110" s="48" t="s">
        <v>383</v>
      </c>
      <c r="F110" s="49">
        <v>540000</v>
      </c>
      <c r="G110" s="50">
        <v>1</v>
      </c>
    </row>
    <row r="111" spans="1:7" s="51" customFormat="1" ht="34.5" customHeight="1">
      <c r="A111" s="45">
        <v>107</v>
      </c>
      <c r="B111" s="48" t="s">
        <v>377</v>
      </c>
      <c r="C111" s="45" t="s">
        <v>378</v>
      </c>
      <c r="D111" s="45" t="s">
        <v>13</v>
      </c>
      <c r="E111" s="48" t="s">
        <v>384</v>
      </c>
      <c r="F111" s="49">
        <v>540000</v>
      </c>
      <c r="G111" s="50">
        <v>1</v>
      </c>
    </row>
    <row r="112" spans="1:7" s="51" customFormat="1" ht="27" customHeight="1">
      <c r="A112" s="45">
        <v>108</v>
      </c>
      <c r="B112" s="48" t="s">
        <v>379</v>
      </c>
      <c r="C112" s="45" t="s">
        <v>336</v>
      </c>
      <c r="D112" s="45" t="s">
        <v>13</v>
      </c>
      <c r="E112" s="48" t="s">
        <v>385</v>
      </c>
      <c r="F112" s="49">
        <v>540000</v>
      </c>
      <c r="G112" s="50">
        <v>1</v>
      </c>
    </row>
    <row r="113" spans="1:7" s="51" customFormat="1" ht="27" customHeight="1">
      <c r="A113" s="45">
        <v>109</v>
      </c>
      <c r="B113" s="48" t="s">
        <v>380</v>
      </c>
      <c r="C113" s="45" t="s">
        <v>336</v>
      </c>
      <c r="D113" s="45" t="s">
        <v>13</v>
      </c>
      <c r="E113" s="48" t="s">
        <v>369</v>
      </c>
      <c r="F113" s="49">
        <v>540000</v>
      </c>
      <c r="G113" s="50">
        <v>1</v>
      </c>
    </row>
    <row r="114" spans="1:7" s="51" customFormat="1" ht="27" customHeight="1">
      <c r="A114" s="45">
        <v>110</v>
      </c>
      <c r="B114" s="48" t="s">
        <v>381</v>
      </c>
      <c r="C114" s="45" t="s">
        <v>382</v>
      </c>
      <c r="D114" s="45" t="s">
        <v>13</v>
      </c>
      <c r="E114" s="48" t="s">
        <v>154</v>
      </c>
      <c r="F114" s="49">
        <v>540000</v>
      </c>
      <c r="G114" s="50">
        <v>1</v>
      </c>
    </row>
    <row r="115" spans="1:7" s="51" customFormat="1" ht="27" customHeight="1">
      <c r="A115" s="45">
        <v>111</v>
      </c>
      <c r="B115" s="48" t="s">
        <v>390</v>
      </c>
      <c r="C115" s="45" t="s">
        <v>391</v>
      </c>
      <c r="D115" s="45" t="s">
        <v>17</v>
      </c>
      <c r="E115" s="48" t="s">
        <v>346</v>
      </c>
      <c r="F115" s="49">
        <v>540000</v>
      </c>
      <c r="G115" s="50">
        <v>1</v>
      </c>
    </row>
    <row r="116" spans="1:7" s="51" customFormat="1" ht="27" customHeight="1">
      <c r="A116" s="45">
        <v>112</v>
      </c>
      <c r="B116" s="48" t="s">
        <v>392</v>
      </c>
      <c r="C116" s="45" t="s">
        <v>391</v>
      </c>
      <c r="D116" s="45" t="s">
        <v>17</v>
      </c>
      <c r="E116" s="48" t="s">
        <v>348</v>
      </c>
      <c r="F116" s="49">
        <v>540000</v>
      </c>
      <c r="G116" s="50">
        <v>1</v>
      </c>
    </row>
    <row r="117" spans="1:7" s="51" customFormat="1" ht="39.75" customHeight="1">
      <c r="A117" s="45">
        <v>113</v>
      </c>
      <c r="B117" s="48" t="s">
        <v>403</v>
      </c>
      <c r="C117" s="45" t="s">
        <v>336</v>
      </c>
      <c r="D117" s="45" t="s">
        <v>18</v>
      </c>
      <c r="E117" s="48" t="s">
        <v>417</v>
      </c>
      <c r="F117" s="49">
        <v>540000</v>
      </c>
      <c r="G117" s="50">
        <v>1</v>
      </c>
    </row>
    <row r="118" spans="1:7" s="51" customFormat="1" ht="41.25" customHeight="1">
      <c r="A118" s="45">
        <v>114</v>
      </c>
      <c r="B118" s="48" t="s">
        <v>404</v>
      </c>
      <c r="C118" s="45" t="s">
        <v>336</v>
      </c>
      <c r="D118" s="45" t="s">
        <v>18</v>
      </c>
      <c r="E118" s="48" t="s">
        <v>418</v>
      </c>
      <c r="F118" s="49">
        <v>540000</v>
      </c>
      <c r="G118" s="50">
        <v>1</v>
      </c>
    </row>
    <row r="119" spans="1:7" s="51" customFormat="1" ht="34.5" customHeight="1">
      <c r="A119" s="45">
        <v>115</v>
      </c>
      <c r="B119" s="48" t="s">
        <v>405</v>
      </c>
      <c r="C119" s="45" t="s">
        <v>361</v>
      </c>
      <c r="D119" s="45" t="s">
        <v>18</v>
      </c>
      <c r="E119" s="48" t="s">
        <v>419</v>
      </c>
      <c r="F119" s="49">
        <v>540000</v>
      </c>
      <c r="G119" s="50">
        <v>1</v>
      </c>
    </row>
    <row r="120" spans="1:7" s="51" customFormat="1" ht="27" customHeight="1">
      <c r="A120" s="45">
        <v>116</v>
      </c>
      <c r="B120" s="48" t="s">
        <v>406</v>
      </c>
      <c r="C120" s="45" t="s">
        <v>336</v>
      </c>
      <c r="D120" s="45" t="s">
        <v>18</v>
      </c>
      <c r="E120" s="48" t="s">
        <v>420</v>
      </c>
      <c r="F120" s="49">
        <v>540000</v>
      </c>
      <c r="G120" s="50">
        <v>1</v>
      </c>
    </row>
    <row r="121" spans="1:7" s="51" customFormat="1" ht="27" customHeight="1">
      <c r="A121" s="45">
        <v>117</v>
      </c>
      <c r="B121" s="48" t="s">
        <v>407</v>
      </c>
      <c r="C121" s="45" t="s">
        <v>334</v>
      </c>
      <c r="D121" s="45" t="s">
        <v>18</v>
      </c>
      <c r="E121" s="48" t="s">
        <v>420</v>
      </c>
      <c r="F121" s="49">
        <v>540000</v>
      </c>
      <c r="G121" s="50">
        <v>1</v>
      </c>
    </row>
    <row r="122" spans="1:7" s="51" customFormat="1" ht="27" customHeight="1">
      <c r="A122" s="45">
        <v>118</v>
      </c>
      <c r="B122" s="48" t="s">
        <v>408</v>
      </c>
      <c r="C122" s="45" t="s">
        <v>330</v>
      </c>
      <c r="D122" s="45" t="s">
        <v>18</v>
      </c>
      <c r="E122" s="48" t="s">
        <v>420</v>
      </c>
      <c r="F122" s="49">
        <v>540000</v>
      </c>
      <c r="G122" s="50">
        <v>1</v>
      </c>
    </row>
    <row r="123" spans="1:7" s="51" customFormat="1" ht="27" customHeight="1">
      <c r="A123" s="45">
        <v>119</v>
      </c>
      <c r="B123" s="48" t="s">
        <v>409</v>
      </c>
      <c r="C123" s="45" t="s">
        <v>334</v>
      </c>
      <c r="D123" s="45" t="s">
        <v>18</v>
      </c>
      <c r="E123" s="48" t="s">
        <v>420</v>
      </c>
      <c r="F123" s="49">
        <v>540000</v>
      </c>
      <c r="G123" s="50">
        <v>1</v>
      </c>
    </row>
    <row r="124" spans="1:7" s="51" customFormat="1" ht="27" customHeight="1">
      <c r="A124" s="45">
        <v>120</v>
      </c>
      <c r="B124" s="48" t="s">
        <v>410</v>
      </c>
      <c r="C124" s="45" t="s">
        <v>330</v>
      </c>
      <c r="D124" s="45" t="s">
        <v>18</v>
      </c>
      <c r="E124" s="48" t="s">
        <v>421</v>
      </c>
      <c r="F124" s="49">
        <v>540000</v>
      </c>
      <c r="G124" s="50">
        <v>1</v>
      </c>
    </row>
    <row r="125" spans="1:7" s="51" customFormat="1" ht="27" customHeight="1">
      <c r="A125" s="45">
        <v>121</v>
      </c>
      <c r="B125" s="48" t="s">
        <v>411</v>
      </c>
      <c r="C125" s="45" t="s">
        <v>334</v>
      </c>
      <c r="D125" s="45" t="s">
        <v>18</v>
      </c>
      <c r="E125" s="48" t="s">
        <v>421</v>
      </c>
      <c r="F125" s="49">
        <v>540000</v>
      </c>
      <c r="G125" s="50">
        <v>1</v>
      </c>
    </row>
    <row r="126" spans="1:7" s="51" customFormat="1" ht="27" customHeight="1">
      <c r="A126" s="45">
        <v>122</v>
      </c>
      <c r="B126" s="48" t="s">
        <v>412</v>
      </c>
      <c r="C126" s="45" t="s">
        <v>330</v>
      </c>
      <c r="D126" s="45" t="s">
        <v>18</v>
      </c>
      <c r="E126" s="48" t="s">
        <v>421</v>
      </c>
      <c r="F126" s="49">
        <v>540000</v>
      </c>
      <c r="G126" s="50">
        <v>1</v>
      </c>
    </row>
    <row r="127" spans="1:7" s="51" customFormat="1" ht="27" customHeight="1">
      <c r="A127" s="45">
        <v>123</v>
      </c>
      <c r="B127" s="48" t="s">
        <v>413</v>
      </c>
      <c r="C127" s="45" t="s">
        <v>330</v>
      </c>
      <c r="D127" s="45" t="s">
        <v>18</v>
      </c>
      <c r="E127" s="48" t="s">
        <v>422</v>
      </c>
      <c r="F127" s="49">
        <v>540000</v>
      </c>
      <c r="G127" s="50">
        <v>1</v>
      </c>
    </row>
    <row r="128" spans="1:7" s="51" customFormat="1" ht="27" customHeight="1">
      <c r="A128" s="45">
        <v>124</v>
      </c>
      <c r="B128" s="48" t="s">
        <v>414</v>
      </c>
      <c r="C128" s="45" t="s">
        <v>415</v>
      </c>
      <c r="D128" s="45" t="s">
        <v>18</v>
      </c>
      <c r="E128" s="48" t="s">
        <v>422</v>
      </c>
      <c r="F128" s="49">
        <v>540000</v>
      </c>
      <c r="G128" s="50">
        <v>1</v>
      </c>
    </row>
    <row r="129" spans="1:7" s="51" customFormat="1" ht="27" customHeight="1">
      <c r="A129" s="45">
        <v>125</v>
      </c>
      <c r="B129" s="48" t="s">
        <v>416</v>
      </c>
      <c r="C129" s="45" t="s">
        <v>330</v>
      </c>
      <c r="D129" s="45" t="s">
        <v>18</v>
      </c>
      <c r="E129" s="48" t="s">
        <v>369</v>
      </c>
      <c r="F129" s="49">
        <v>540000</v>
      </c>
      <c r="G129" s="50">
        <v>1</v>
      </c>
    </row>
    <row r="130" spans="1:7" s="51" customFormat="1" ht="33" customHeight="1">
      <c r="A130" s="45">
        <v>126</v>
      </c>
      <c r="B130" s="48" t="s">
        <v>428</v>
      </c>
      <c r="C130" s="45" t="s">
        <v>334</v>
      </c>
      <c r="D130" s="45" t="s">
        <v>19</v>
      </c>
      <c r="E130" s="48" t="s">
        <v>431</v>
      </c>
      <c r="F130" s="49">
        <v>540000</v>
      </c>
      <c r="G130" s="50">
        <v>1</v>
      </c>
    </row>
    <row r="131" spans="1:7" s="51" customFormat="1" ht="33" customHeight="1">
      <c r="A131" s="45">
        <v>127</v>
      </c>
      <c r="B131" s="48" t="s">
        <v>429</v>
      </c>
      <c r="C131" s="45" t="s">
        <v>361</v>
      </c>
      <c r="D131" s="45" t="s">
        <v>19</v>
      </c>
      <c r="E131" s="48" t="s">
        <v>431</v>
      </c>
      <c r="F131" s="49">
        <v>540000</v>
      </c>
      <c r="G131" s="50">
        <v>1</v>
      </c>
    </row>
    <row r="132" spans="1:7" s="51" customFormat="1" ht="33" customHeight="1">
      <c r="A132" s="45">
        <v>128</v>
      </c>
      <c r="B132" s="48" t="s">
        <v>430</v>
      </c>
      <c r="C132" s="45" t="s">
        <v>361</v>
      </c>
      <c r="D132" s="45" t="s">
        <v>19</v>
      </c>
      <c r="E132" s="48" t="s">
        <v>432</v>
      </c>
      <c r="F132" s="49">
        <v>540000</v>
      </c>
      <c r="G132" s="50">
        <v>1</v>
      </c>
    </row>
    <row r="133" spans="1:7" s="51" customFormat="1" ht="27" customHeight="1">
      <c r="A133" s="45">
        <v>129</v>
      </c>
      <c r="B133" s="48" t="s">
        <v>437</v>
      </c>
      <c r="C133" s="45" t="s">
        <v>330</v>
      </c>
      <c r="D133" s="45" t="s">
        <v>20</v>
      </c>
      <c r="E133" s="48" t="s">
        <v>439</v>
      </c>
      <c r="F133" s="49">
        <v>540000</v>
      </c>
      <c r="G133" s="50">
        <v>1</v>
      </c>
    </row>
    <row r="134" spans="1:7" s="51" customFormat="1" ht="27" customHeight="1">
      <c r="A134" s="45">
        <v>130</v>
      </c>
      <c r="B134" s="48" t="s">
        <v>438</v>
      </c>
      <c r="C134" s="45" t="s">
        <v>330</v>
      </c>
      <c r="D134" s="45" t="s">
        <v>20</v>
      </c>
      <c r="E134" s="48" t="s">
        <v>385</v>
      </c>
      <c r="F134" s="49">
        <v>540000</v>
      </c>
      <c r="G134" s="50">
        <v>1</v>
      </c>
    </row>
    <row r="135" spans="1:7" s="51" customFormat="1" ht="32.25" customHeight="1">
      <c r="A135" s="45">
        <v>131</v>
      </c>
      <c r="B135" s="46" t="s">
        <v>502</v>
      </c>
      <c r="C135" s="47" t="s">
        <v>503</v>
      </c>
      <c r="D135" s="47" t="s">
        <v>21</v>
      </c>
      <c r="E135" s="48" t="s">
        <v>540</v>
      </c>
      <c r="F135" s="49">
        <v>540000</v>
      </c>
      <c r="G135" s="50">
        <v>1</v>
      </c>
    </row>
    <row r="136" spans="1:7" s="51" customFormat="1" ht="27" customHeight="1">
      <c r="A136" s="45">
        <v>132</v>
      </c>
      <c r="B136" s="46" t="s">
        <v>504</v>
      </c>
      <c r="C136" s="47" t="s">
        <v>505</v>
      </c>
      <c r="D136" s="47" t="s">
        <v>21</v>
      </c>
      <c r="E136" s="48" t="s">
        <v>385</v>
      </c>
      <c r="F136" s="49">
        <v>540000</v>
      </c>
      <c r="G136" s="50">
        <v>1</v>
      </c>
    </row>
    <row r="137" spans="1:7" s="51" customFormat="1" ht="27" customHeight="1">
      <c r="A137" s="45">
        <v>133</v>
      </c>
      <c r="B137" s="46" t="s">
        <v>506</v>
      </c>
      <c r="C137" s="47" t="s">
        <v>505</v>
      </c>
      <c r="D137" s="47" t="s">
        <v>21</v>
      </c>
      <c r="E137" s="48" t="s">
        <v>385</v>
      </c>
      <c r="F137" s="49">
        <v>540000</v>
      </c>
      <c r="G137" s="50">
        <v>1</v>
      </c>
    </row>
    <row r="138" spans="1:7" s="51" customFormat="1" ht="27" customHeight="1">
      <c r="A138" s="45">
        <v>134</v>
      </c>
      <c r="B138" s="46" t="s">
        <v>507</v>
      </c>
      <c r="C138" s="47" t="s">
        <v>503</v>
      </c>
      <c r="D138" s="47" t="s">
        <v>21</v>
      </c>
      <c r="E138" s="48" t="s">
        <v>385</v>
      </c>
      <c r="F138" s="49">
        <v>540000</v>
      </c>
      <c r="G138" s="50">
        <v>1</v>
      </c>
    </row>
    <row r="139" spans="1:7" s="51" customFormat="1" ht="27" customHeight="1">
      <c r="A139" s="45">
        <v>135</v>
      </c>
      <c r="B139" s="46" t="s">
        <v>508</v>
      </c>
      <c r="C139" s="47" t="s">
        <v>509</v>
      </c>
      <c r="D139" s="47" t="s">
        <v>21</v>
      </c>
      <c r="E139" s="48" t="s">
        <v>385</v>
      </c>
      <c r="F139" s="49">
        <v>540000</v>
      </c>
      <c r="G139" s="50">
        <v>1</v>
      </c>
    </row>
    <row r="140" spans="1:7" s="51" customFormat="1" ht="31.5" customHeight="1">
      <c r="A140" s="45">
        <v>136</v>
      </c>
      <c r="B140" s="46" t="s">
        <v>510</v>
      </c>
      <c r="C140" s="47" t="s">
        <v>511</v>
      </c>
      <c r="D140" s="47" t="s">
        <v>21</v>
      </c>
      <c r="E140" s="48" t="s">
        <v>541</v>
      </c>
      <c r="F140" s="49">
        <v>540000</v>
      </c>
      <c r="G140" s="50">
        <v>1</v>
      </c>
    </row>
    <row r="141" spans="1:7" s="51" customFormat="1" ht="27" customHeight="1">
      <c r="A141" s="45">
        <v>137</v>
      </c>
      <c r="B141" s="46" t="s">
        <v>512</v>
      </c>
      <c r="C141" s="47" t="s">
        <v>505</v>
      </c>
      <c r="D141" s="47" t="s">
        <v>21</v>
      </c>
      <c r="E141" s="48" t="s">
        <v>542</v>
      </c>
      <c r="F141" s="49">
        <v>540000</v>
      </c>
      <c r="G141" s="50">
        <v>1</v>
      </c>
    </row>
    <row r="142" spans="1:7" s="51" customFormat="1" ht="27" customHeight="1">
      <c r="A142" s="45">
        <v>138</v>
      </c>
      <c r="B142" s="46" t="s">
        <v>531</v>
      </c>
      <c r="C142" s="47" t="s">
        <v>452</v>
      </c>
      <c r="D142" s="47" t="s">
        <v>521</v>
      </c>
      <c r="E142" s="48" t="s">
        <v>543</v>
      </c>
      <c r="F142" s="49">
        <v>540000</v>
      </c>
      <c r="G142" s="50">
        <v>1</v>
      </c>
    </row>
    <row r="143" spans="1:7" s="51" customFormat="1" ht="31.5" customHeight="1">
      <c r="A143" s="45">
        <v>139</v>
      </c>
      <c r="B143" s="46" t="s">
        <v>522</v>
      </c>
      <c r="C143" s="47" t="s">
        <v>367</v>
      </c>
      <c r="D143" s="47" t="s">
        <v>21</v>
      </c>
      <c r="E143" s="48" t="s">
        <v>545</v>
      </c>
      <c r="F143" s="49">
        <v>540000</v>
      </c>
      <c r="G143" s="50">
        <v>1</v>
      </c>
    </row>
    <row r="144" spans="1:7" s="51" customFormat="1" ht="37.5" customHeight="1">
      <c r="A144" s="45">
        <v>140</v>
      </c>
      <c r="B144" s="46" t="s">
        <v>523</v>
      </c>
      <c r="C144" s="47" t="s">
        <v>367</v>
      </c>
      <c r="D144" s="47" t="s">
        <v>21</v>
      </c>
      <c r="E144" s="48" t="s">
        <v>544</v>
      </c>
      <c r="F144" s="49">
        <v>540000</v>
      </c>
      <c r="G144" s="50">
        <v>1</v>
      </c>
    </row>
    <row r="145" spans="1:7" s="51" customFormat="1" ht="27" customHeight="1">
      <c r="A145" s="45">
        <v>141</v>
      </c>
      <c r="B145" s="46" t="s">
        <v>518</v>
      </c>
      <c r="C145" s="47" t="s">
        <v>452</v>
      </c>
      <c r="D145" s="47" t="s">
        <v>21</v>
      </c>
      <c r="E145" s="48" t="s">
        <v>532</v>
      </c>
      <c r="F145" s="49">
        <v>540000</v>
      </c>
      <c r="G145" s="50">
        <v>1</v>
      </c>
    </row>
    <row r="146" spans="1:7" s="51" customFormat="1" ht="33" customHeight="1">
      <c r="A146" s="45">
        <v>142</v>
      </c>
      <c r="B146" s="46" t="s">
        <v>524</v>
      </c>
      <c r="C146" s="47" t="s">
        <v>367</v>
      </c>
      <c r="D146" s="47" t="s">
        <v>21</v>
      </c>
      <c r="E146" s="48" t="s">
        <v>546</v>
      </c>
      <c r="F146" s="49">
        <v>540000</v>
      </c>
      <c r="G146" s="50">
        <v>1</v>
      </c>
    </row>
    <row r="147" spans="1:7" s="51" customFormat="1" ht="35.25" customHeight="1">
      <c r="A147" s="45">
        <v>143</v>
      </c>
      <c r="B147" s="46" t="s">
        <v>525</v>
      </c>
      <c r="C147" s="47" t="s">
        <v>367</v>
      </c>
      <c r="D147" s="47" t="s">
        <v>21</v>
      </c>
      <c r="E147" s="48" t="s">
        <v>547</v>
      </c>
      <c r="F147" s="49">
        <v>540000</v>
      </c>
      <c r="G147" s="50">
        <v>1</v>
      </c>
    </row>
    <row r="148" spans="1:7" s="51" customFormat="1" ht="27" customHeight="1">
      <c r="A148" s="45">
        <v>144</v>
      </c>
      <c r="B148" s="46" t="s">
        <v>513</v>
      </c>
      <c r="C148" s="47" t="s">
        <v>514</v>
      </c>
      <c r="D148" s="47" t="s">
        <v>21</v>
      </c>
      <c r="E148" s="48" t="s">
        <v>533</v>
      </c>
      <c r="F148" s="49">
        <v>540000</v>
      </c>
      <c r="G148" s="50">
        <v>1</v>
      </c>
    </row>
    <row r="149" spans="1:7" s="51" customFormat="1" ht="27" customHeight="1">
      <c r="A149" s="45">
        <v>145</v>
      </c>
      <c r="B149" s="46" t="s">
        <v>519</v>
      </c>
      <c r="C149" s="47" t="s">
        <v>452</v>
      </c>
      <c r="D149" s="47" t="s">
        <v>21</v>
      </c>
      <c r="E149" s="48" t="s">
        <v>548</v>
      </c>
      <c r="F149" s="49">
        <v>540000</v>
      </c>
      <c r="G149" s="50">
        <v>1</v>
      </c>
    </row>
    <row r="150" spans="1:7" s="51" customFormat="1" ht="27" customHeight="1">
      <c r="A150" s="45">
        <v>146</v>
      </c>
      <c r="B150" s="46" t="s">
        <v>515</v>
      </c>
      <c r="C150" s="47" t="s">
        <v>514</v>
      </c>
      <c r="D150" s="47" t="s">
        <v>21</v>
      </c>
      <c r="E150" s="48" t="s">
        <v>534</v>
      </c>
      <c r="F150" s="49">
        <v>540000</v>
      </c>
      <c r="G150" s="50">
        <v>1</v>
      </c>
    </row>
    <row r="151" spans="1:7" s="51" customFormat="1" ht="34.5" customHeight="1">
      <c r="A151" s="45">
        <v>147</v>
      </c>
      <c r="B151" s="46" t="s">
        <v>527</v>
      </c>
      <c r="C151" s="47" t="s">
        <v>367</v>
      </c>
      <c r="D151" s="47" t="s">
        <v>21</v>
      </c>
      <c r="E151" s="48" t="s">
        <v>535</v>
      </c>
      <c r="F151" s="49">
        <v>540000</v>
      </c>
      <c r="G151" s="50">
        <v>1</v>
      </c>
    </row>
    <row r="152" spans="1:7" s="51" customFormat="1" ht="34.5" customHeight="1">
      <c r="A152" s="45">
        <v>148</v>
      </c>
      <c r="B152" s="46" t="s">
        <v>528</v>
      </c>
      <c r="C152" s="47" t="s">
        <v>367</v>
      </c>
      <c r="D152" s="47" t="s">
        <v>21</v>
      </c>
      <c r="E152" s="48" t="s">
        <v>536</v>
      </c>
      <c r="F152" s="49">
        <v>540000</v>
      </c>
      <c r="G152" s="50">
        <v>1</v>
      </c>
    </row>
    <row r="153" spans="1:7" s="51" customFormat="1" ht="34.5" customHeight="1">
      <c r="A153" s="45">
        <v>149</v>
      </c>
      <c r="B153" s="46" t="s">
        <v>529</v>
      </c>
      <c r="C153" s="47" t="s">
        <v>367</v>
      </c>
      <c r="D153" s="47" t="s">
        <v>21</v>
      </c>
      <c r="E153" s="48" t="s">
        <v>537</v>
      </c>
      <c r="F153" s="49">
        <v>540000</v>
      </c>
      <c r="G153" s="50">
        <v>1</v>
      </c>
    </row>
    <row r="154" spans="1:7" s="51" customFormat="1" ht="34.5" customHeight="1">
      <c r="A154" s="45">
        <v>150</v>
      </c>
      <c r="B154" s="46" t="s">
        <v>530</v>
      </c>
      <c r="C154" s="47" t="s">
        <v>367</v>
      </c>
      <c r="D154" s="47" t="s">
        <v>21</v>
      </c>
      <c r="E154" s="48" t="s">
        <v>537</v>
      </c>
      <c r="F154" s="49">
        <v>540000</v>
      </c>
      <c r="G154" s="50">
        <v>1</v>
      </c>
    </row>
    <row r="155" spans="1:7" s="51" customFormat="1" ht="34.5" customHeight="1">
      <c r="A155" s="45">
        <v>151</v>
      </c>
      <c r="B155" s="46" t="s">
        <v>409</v>
      </c>
      <c r="C155" s="47" t="s">
        <v>367</v>
      </c>
      <c r="D155" s="47" t="s">
        <v>21</v>
      </c>
      <c r="E155" s="48" t="s">
        <v>549</v>
      </c>
      <c r="F155" s="49">
        <v>540000</v>
      </c>
      <c r="G155" s="50">
        <v>1</v>
      </c>
    </row>
    <row r="156" spans="1:7" s="51" customFormat="1" ht="34.5" customHeight="1">
      <c r="A156" s="45">
        <v>152</v>
      </c>
      <c r="B156" s="46" t="s">
        <v>526</v>
      </c>
      <c r="C156" s="47" t="s">
        <v>367</v>
      </c>
      <c r="D156" s="47" t="s">
        <v>21</v>
      </c>
      <c r="E156" s="48" t="s">
        <v>550</v>
      </c>
      <c r="F156" s="49">
        <v>540000</v>
      </c>
      <c r="G156" s="50">
        <v>1</v>
      </c>
    </row>
    <row r="157" spans="1:7" s="51" customFormat="1" ht="27" customHeight="1">
      <c r="A157" s="45">
        <v>153</v>
      </c>
      <c r="B157" s="56" t="s">
        <v>517</v>
      </c>
      <c r="C157" s="57" t="s">
        <v>516</v>
      </c>
      <c r="D157" s="57" t="s">
        <v>21</v>
      </c>
      <c r="E157" s="48" t="s">
        <v>538</v>
      </c>
      <c r="F157" s="49">
        <v>540000</v>
      </c>
      <c r="G157" s="50">
        <v>1</v>
      </c>
    </row>
    <row r="158" spans="1:7" s="51" customFormat="1" ht="27" customHeight="1">
      <c r="A158" s="45">
        <v>154</v>
      </c>
      <c r="B158" s="56" t="s">
        <v>228</v>
      </c>
      <c r="C158" s="57" t="s">
        <v>452</v>
      </c>
      <c r="D158" s="57" t="s">
        <v>21</v>
      </c>
      <c r="E158" s="48" t="s">
        <v>539</v>
      </c>
      <c r="F158" s="49">
        <v>540000</v>
      </c>
      <c r="G158" s="50">
        <v>1</v>
      </c>
    </row>
    <row r="159" spans="1:7" s="51" customFormat="1" ht="37.5" customHeight="1">
      <c r="A159" s="45">
        <v>155</v>
      </c>
      <c r="B159" s="48" t="s">
        <v>828</v>
      </c>
      <c r="C159" s="45" t="s">
        <v>336</v>
      </c>
      <c r="D159" s="45" t="s">
        <v>22</v>
      </c>
      <c r="E159" s="48" t="s">
        <v>448</v>
      </c>
      <c r="F159" s="49">
        <v>540000</v>
      </c>
      <c r="G159" s="50">
        <v>1</v>
      </c>
    </row>
    <row r="160" spans="1:7" s="51" customFormat="1" ht="27" customHeight="1">
      <c r="A160" s="45">
        <v>156</v>
      </c>
      <c r="B160" s="48" t="s">
        <v>446</v>
      </c>
      <c r="C160" s="45" t="s">
        <v>336</v>
      </c>
      <c r="D160" s="45" t="s">
        <v>22</v>
      </c>
      <c r="E160" s="48" t="s">
        <v>369</v>
      </c>
      <c r="F160" s="49">
        <v>540000</v>
      </c>
      <c r="G160" s="50">
        <v>1</v>
      </c>
    </row>
    <row r="161" spans="1:7" s="51" customFormat="1" ht="27" customHeight="1">
      <c r="A161" s="45">
        <v>157</v>
      </c>
      <c r="B161" s="48" t="s">
        <v>447</v>
      </c>
      <c r="C161" s="45" t="s">
        <v>334</v>
      </c>
      <c r="D161" s="45" t="s">
        <v>22</v>
      </c>
      <c r="E161" s="48" t="s">
        <v>453</v>
      </c>
      <c r="F161" s="49">
        <v>540000</v>
      </c>
      <c r="G161" s="50">
        <v>1</v>
      </c>
    </row>
    <row r="162" spans="1:7" s="51" customFormat="1" ht="40.5" customHeight="1">
      <c r="A162" s="45">
        <v>158</v>
      </c>
      <c r="B162" s="48" t="s">
        <v>451</v>
      </c>
      <c r="C162" s="45" t="s">
        <v>367</v>
      </c>
      <c r="D162" s="45" t="s">
        <v>23</v>
      </c>
      <c r="E162" s="48" t="s">
        <v>454</v>
      </c>
      <c r="F162" s="49">
        <v>540000</v>
      </c>
      <c r="G162" s="50">
        <v>1</v>
      </c>
    </row>
    <row r="163" spans="1:7" s="51" customFormat="1" ht="46.5" customHeight="1">
      <c r="A163" s="45">
        <v>159</v>
      </c>
      <c r="B163" s="48" t="s">
        <v>462</v>
      </c>
      <c r="C163" s="45" t="s">
        <v>330</v>
      </c>
      <c r="D163" s="45" t="s">
        <v>24</v>
      </c>
      <c r="E163" s="48" t="s">
        <v>468</v>
      </c>
      <c r="F163" s="49">
        <v>540000</v>
      </c>
      <c r="G163" s="50">
        <v>1</v>
      </c>
    </row>
    <row r="164" spans="1:7" s="51" customFormat="1" ht="27" customHeight="1">
      <c r="A164" s="45">
        <v>160</v>
      </c>
      <c r="B164" s="48" t="s">
        <v>463</v>
      </c>
      <c r="C164" s="45" t="s">
        <v>330</v>
      </c>
      <c r="D164" s="45" t="s">
        <v>24</v>
      </c>
      <c r="E164" s="48" t="s">
        <v>467</v>
      </c>
      <c r="F164" s="49">
        <v>540000</v>
      </c>
      <c r="G164" s="50">
        <v>1</v>
      </c>
    </row>
    <row r="165" spans="1:7" s="51" customFormat="1" ht="27" customHeight="1">
      <c r="A165" s="45">
        <v>161</v>
      </c>
      <c r="B165" s="48" t="s">
        <v>464</v>
      </c>
      <c r="C165" s="45" t="s">
        <v>336</v>
      </c>
      <c r="D165" s="45" t="s">
        <v>24</v>
      </c>
      <c r="E165" s="48" t="s">
        <v>348</v>
      </c>
      <c r="F165" s="49">
        <v>540000</v>
      </c>
      <c r="G165" s="50">
        <v>1</v>
      </c>
    </row>
    <row r="166" spans="1:7" s="51" customFormat="1" ht="27" customHeight="1">
      <c r="A166" s="45">
        <v>162</v>
      </c>
      <c r="B166" s="48" t="s">
        <v>465</v>
      </c>
      <c r="C166" s="45" t="s">
        <v>334</v>
      </c>
      <c r="D166" s="45" t="s">
        <v>24</v>
      </c>
      <c r="E166" s="48" t="s">
        <v>469</v>
      </c>
      <c r="F166" s="49">
        <v>540000</v>
      </c>
      <c r="G166" s="50">
        <v>1</v>
      </c>
    </row>
    <row r="167" spans="1:7" s="51" customFormat="1" ht="33.75" customHeight="1">
      <c r="A167" s="45">
        <v>163</v>
      </c>
      <c r="B167" s="48" t="s">
        <v>466</v>
      </c>
      <c r="C167" s="45" t="s">
        <v>330</v>
      </c>
      <c r="D167" s="45" t="s">
        <v>24</v>
      </c>
      <c r="E167" s="48" t="s">
        <v>351</v>
      </c>
      <c r="F167" s="49">
        <v>540000</v>
      </c>
      <c r="G167" s="50">
        <v>1</v>
      </c>
    </row>
    <row r="168" spans="1:7" s="51" customFormat="1" ht="27" customHeight="1">
      <c r="A168" s="45">
        <v>164</v>
      </c>
      <c r="B168" s="48" t="s">
        <v>554</v>
      </c>
      <c r="C168" s="45" t="s">
        <v>415</v>
      </c>
      <c r="D168" s="45" t="s">
        <v>25</v>
      </c>
      <c r="E168" s="48" t="s">
        <v>555</v>
      </c>
      <c r="F168" s="49">
        <v>540000</v>
      </c>
      <c r="G168" s="50">
        <v>1</v>
      </c>
    </row>
    <row r="169" spans="1:7" s="51" customFormat="1" ht="31.5" customHeight="1">
      <c r="A169" s="45">
        <v>165</v>
      </c>
      <c r="B169" s="48" t="s">
        <v>582</v>
      </c>
      <c r="C169" s="45" t="s">
        <v>505</v>
      </c>
      <c r="D169" s="45" t="s">
        <v>557</v>
      </c>
      <c r="E169" s="48" t="s">
        <v>604</v>
      </c>
      <c r="F169" s="49">
        <v>540000</v>
      </c>
      <c r="G169" s="50">
        <v>1</v>
      </c>
    </row>
    <row r="170" spans="1:7" s="51" customFormat="1" ht="41.25" customHeight="1">
      <c r="A170" s="45">
        <v>166</v>
      </c>
      <c r="B170" s="48" t="s">
        <v>583</v>
      </c>
      <c r="C170" s="45" t="s">
        <v>505</v>
      </c>
      <c r="D170" s="45" t="s">
        <v>557</v>
      </c>
      <c r="E170" s="48" t="s">
        <v>605</v>
      </c>
      <c r="F170" s="49">
        <v>540000</v>
      </c>
      <c r="G170" s="50">
        <v>1</v>
      </c>
    </row>
    <row r="171" spans="1:7" s="51" customFormat="1" ht="62.25" customHeight="1">
      <c r="A171" s="45">
        <v>167</v>
      </c>
      <c r="B171" s="48" t="s">
        <v>584</v>
      </c>
      <c r="C171" s="45" t="s">
        <v>505</v>
      </c>
      <c r="D171" s="45" t="s">
        <v>557</v>
      </c>
      <c r="E171" s="48" t="s">
        <v>606</v>
      </c>
      <c r="F171" s="49">
        <v>540000</v>
      </c>
      <c r="G171" s="50">
        <v>1</v>
      </c>
    </row>
    <row r="172" spans="1:7" s="51" customFormat="1" ht="31.5" customHeight="1">
      <c r="A172" s="45">
        <v>168</v>
      </c>
      <c r="B172" s="48" t="s">
        <v>585</v>
      </c>
      <c r="C172" s="45" t="s">
        <v>505</v>
      </c>
      <c r="D172" s="45" t="s">
        <v>557</v>
      </c>
      <c r="E172" s="48" t="s">
        <v>607</v>
      </c>
      <c r="F172" s="49">
        <v>540000</v>
      </c>
      <c r="G172" s="50">
        <v>1</v>
      </c>
    </row>
    <row r="173" spans="1:7" s="51" customFormat="1" ht="51" customHeight="1">
      <c r="A173" s="45">
        <v>169</v>
      </c>
      <c r="B173" s="48" t="s">
        <v>586</v>
      </c>
      <c r="C173" s="45" t="s">
        <v>505</v>
      </c>
      <c r="D173" s="45" t="s">
        <v>557</v>
      </c>
      <c r="E173" s="48" t="s">
        <v>608</v>
      </c>
      <c r="F173" s="49">
        <v>540000</v>
      </c>
      <c r="G173" s="50">
        <v>1</v>
      </c>
    </row>
    <row r="174" spans="1:7" s="51" customFormat="1" ht="47.25" customHeight="1">
      <c r="A174" s="45">
        <v>170</v>
      </c>
      <c r="B174" s="48" t="s">
        <v>587</v>
      </c>
      <c r="C174" s="45" t="s">
        <v>505</v>
      </c>
      <c r="D174" s="45" t="s">
        <v>557</v>
      </c>
      <c r="E174" s="48" t="s">
        <v>609</v>
      </c>
      <c r="F174" s="49">
        <v>540000</v>
      </c>
      <c r="G174" s="50">
        <v>1</v>
      </c>
    </row>
    <row r="175" spans="1:7" s="51" customFormat="1" ht="48.75" customHeight="1">
      <c r="A175" s="45">
        <v>171</v>
      </c>
      <c r="B175" s="48" t="s">
        <v>588</v>
      </c>
      <c r="C175" s="45" t="s">
        <v>505</v>
      </c>
      <c r="D175" s="45" t="s">
        <v>557</v>
      </c>
      <c r="E175" s="48" t="s">
        <v>610</v>
      </c>
      <c r="F175" s="49">
        <v>540000</v>
      </c>
      <c r="G175" s="50">
        <v>1</v>
      </c>
    </row>
    <row r="176" spans="1:7" s="51" customFormat="1" ht="27" customHeight="1">
      <c r="A176" s="45">
        <v>172</v>
      </c>
      <c r="B176" s="48" t="s">
        <v>589</v>
      </c>
      <c r="C176" s="45" t="s">
        <v>590</v>
      </c>
      <c r="D176" s="45" t="s">
        <v>557</v>
      </c>
      <c r="E176" s="48" t="s">
        <v>611</v>
      </c>
      <c r="F176" s="49">
        <v>540000</v>
      </c>
      <c r="G176" s="50">
        <v>1</v>
      </c>
    </row>
    <row r="177" spans="1:7" s="51" customFormat="1" ht="27" customHeight="1">
      <c r="A177" s="45">
        <v>173</v>
      </c>
      <c r="B177" s="48" t="s">
        <v>591</v>
      </c>
      <c r="C177" s="45" t="s">
        <v>509</v>
      </c>
      <c r="D177" s="45" t="s">
        <v>557</v>
      </c>
      <c r="E177" s="48" t="s">
        <v>612</v>
      </c>
      <c r="F177" s="49">
        <v>540000</v>
      </c>
      <c r="G177" s="50">
        <v>1</v>
      </c>
    </row>
    <row r="178" spans="1:7" s="51" customFormat="1" ht="33.75" customHeight="1">
      <c r="A178" s="45">
        <v>174</v>
      </c>
      <c r="B178" s="48" t="s">
        <v>594</v>
      </c>
      <c r="C178" s="45" t="s">
        <v>509</v>
      </c>
      <c r="D178" s="45" t="s">
        <v>557</v>
      </c>
      <c r="E178" s="48" t="s">
        <v>613</v>
      </c>
      <c r="F178" s="49">
        <v>540000</v>
      </c>
      <c r="G178" s="50">
        <v>1</v>
      </c>
    </row>
    <row r="179" spans="1:7" s="51" customFormat="1" ht="33.75" customHeight="1">
      <c r="A179" s="45">
        <v>175</v>
      </c>
      <c r="B179" s="48" t="s">
        <v>592</v>
      </c>
      <c r="C179" s="45" t="s">
        <v>509</v>
      </c>
      <c r="D179" s="45" t="s">
        <v>557</v>
      </c>
      <c r="E179" s="48" t="s">
        <v>614</v>
      </c>
      <c r="F179" s="49">
        <v>540000</v>
      </c>
      <c r="G179" s="50">
        <v>1</v>
      </c>
    </row>
    <row r="180" spans="1:7" s="51" customFormat="1" ht="37.5" customHeight="1">
      <c r="A180" s="45">
        <v>176</v>
      </c>
      <c r="B180" s="48" t="s">
        <v>593</v>
      </c>
      <c r="C180" s="45" t="s">
        <v>509</v>
      </c>
      <c r="D180" s="45" t="s">
        <v>557</v>
      </c>
      <c r="E180" s="48" t="s">
        <v>765</v>
      </c>
      <c r="F180" s="49">
        <v>540000</v>
      </c>
      <c r="G180" s="50">
        <v>1</v>
      </c>
    </row>
    <row r="181" spans="1:7" s="51" customFormat="1" ht="27" customHeight="1">
      <c r="A181" s="45">
        <v>177</v>
      </c>
      <c r="B181" s="48" t="s">
        <v>595</v>
      </c>
      <c r="C181" s="45" t="s">
        <v>596</v>
      </c>
      <c r="D181" s="45" t="s">
        <v>557</v>
      </c>
      <c r="E181" s="48" t="s">
        <v>615</v>
      </c>
      <c r="F181" s="49">
        <v>540000</v>
      </c>
      <c r="G181" s="50">
        <v>1</v>
      </c>
    </row>
    <row r="182" spans="1:7" s="51" customFormat="1" ht="33.75" customHeight="1">
      <c r="A182" s="45">
        <v>178</v>
      </c>
      <c r="B182" s="48" t="s">
        <v>597</v>
      </c>
      <c r="C182" s="45" t="s">
        <v>590</v>
      </c>
      <c r="D182" s="45" t="s">
        <v>557</v>
      </c>
      <c r="E182" s="48" t="s">
        <v>616</v>
      </c>
      <c r="F182" s="49">
        <v>540000</v>
      </c>
      <c r="G182" s="50">
        <v>1</v>
      </c>
    </row>
    <row r="183" spans="1:7" s="51" customFormat="1" ht="27" customHeight="1">
      <c r="A183" s="45">
        <v>179</v>
      </c>
      <c r="B183" s="48" t="s">
        <v>598</v>
      </c>
      <c r="C183" s="45" t="s">
        <v>590</v>
      </c>
      <c r="D183" s="45" t="s">
        <v>557</v>
      </c>
      <c r="E183" s="48" t="s">
        <v>617</v>
      </c>
      <c r="F183" s="49">
        <v>540000</v>
      </c>
      <c r="G183" s="50">
        <v>1</v>
      </c>
    </row>
    <row r="184" spans="1:7" s="51" customFormat="1" ht="53.25" customHeight="1">
      <c r="A184" s="45">
        <v>180</v>
      </c>
      <c r="B184" s="48" t="s">
        <v>599</v>
      </c>
      <c r="C184" s="45" t="s">
        <v>505</v>
      </c>
      <c r="D184" s="45" t="s">
        <v>557</v>
      </c>
      <c r="E184" s="48" t="s">
        <v>784</v>
      </c>
      <c r="F184" s="49">
        <v>540000</v>
      </c>
      <c r="G184" s="50">
        <v>1</v>
      </c>
    </row>
    <row r="185" spans="1:7" s="51" customFormat="1" ht="33" customHeight="1">
      <c r="A185" s="45">
        <v>181</v>
      </c>
      <c r="B185" s="48" t="s">
        <v>600</v>
      </c>
      <c r="C185" s="45" t="s">
        <v>520</v>
      </c>
      <c r="D185" s="45" t="s">
        <v>557</v>
      </c>
      <c r="E185" s="48" t="s">
        <v>618</v>
      </c>
      <c r="F185" s="49">
        <v>540000</v>
      </c>
      <c r="G185" s="50">
        <v>1</v>
      </c>
    </row>
    <row r="186" spans="1:7" s="51" customFormat="1" ht="27" customHeight="1">
      <c r="A186" s="45">
        <v>182</v>
      </c>
      <c r="B186" s="48" t="s">
        <v>601</v>
      </c>
      <c r="C186" s="45" t="s">
        <v>602</v>
      </c>
      <c r="D186" s="45" t="s">
        <v>557</v>
      </c>
      <c r="E186" s="48" t="s">
        <v>619</v>
      </c>
      <c r="F186" s="49">
        <v>540000</v>
      </c>
      <c r="G186" s="50">
        <v>1</v>
      </c>
    </row>
    <row r="187" spans="1:7" s="51" customFormat="1" ht="54" customHeight="1">
      <c r="A187" s="45">
        <v>183</v>
      </c>
      <c r="B187" s="48" t="s">
        <v>632</v>
      </c>
      <c r="C187" s="45" t="s">
        <v>391</v>
      </c>
      <c r="D187" s="45" t="s">
        <v>26</v>
      </c>
      <c r="E187" s="48" t="s">
        <v>636</v>
      </c>
      <c r="F187" s="49">
        <v>540000</v>
      </c>
      <c r="G187" s="50">
        <v>1</v>
      </c>
    </row>
    <row r="188" spans="1:7" s="51" customFormat="1" ht="51" customHeight="1">
      <c r="A188" s="45">
        <v>184</v>
      </c>
      <c r="B188" s="48" t="s">
        <v>633</v>
      </c>
      <c r="C188" s="45" t="s">
        <v>332</v>
      </c>
      <c r="D188" s="45" t="s">
        <v>26</v>
      </c>
      <c r="E188" s="48" t="s">
        <v>637</v>
      </c>
      <c r="F188" s="49">
        <v>540000</v>
      </c>
      <c r="G188" s="50">
        <v>1</v>
      </c>
    </row>
    <row r="189" spans="1:7" s="51" customFormat="1" ht="32.25" customHeight="1">
      <c r="A189" s="45">
        <v>185</v>
      </c>
      <c r="B189" s="48" t="s">
        <v>634</v>
      </c>
      <c r="C189" s="45" t="s">
        <v>336</v>
      </c>
      <c r="D189" s="45" t="s">
        <v>26</v>
      </c>
      <c r="E189" s="48" t="s">
        <v>638</v>
      </c>
      <c r="F189" s="49">
        <v>540000</v>
      </c>
      <c r="G189" s="50">
        <v>1</v>
      </c>
    </row>
    <row r="190" spans="1:7" s="51" customFormat="1" ht="27" customHeight="1">
      <c r="A190" s="45">
        <v>186</v>
      </c>
      <c r="B190" s="48" t="s">
        <v>635</v>
      </c>
      <c r="C190" s="45" t="s">
        <v>361</v>
      </c>
      <c r="D190" s="45" t="s">
        <v>26</v>
      </c>
      <c r="E190" s="48" t="s">
        <v>639</v>
      </c>
      <c r="F190" s="49">
        <v>540000</v>
      </c>
      <c r="G190" s="50">
        <v>1</v>
      </c>
    </row>
    <row r="191" spans="1:7" s="51" customFormat="1" ht="48.75" customHeight="1">
      <c r="A191" s="45">
        <v>187</v>
      </c>
      <c r="B191" s="48" t="s">
        <v>651</v>
      </c>
      <c r="C191" s="45" t="s">
        <v>336</v>
      </c>
      <c r="D191" s="45" t="s">
        <v>27</v>
      </c>
      <c r="E191" s="48" t="s">
        <v>656</v>
      </c>
      <c r="F191" s="49">
        <v>540000</v>
      </c>
      <c r="G191" s="50">
        <v>1</v>
      </c>
    </row>
    <row r="192" spans="1:7" s="51" customFormat="1" ht="46.5" customHeight="1">
      <c r="A192" s="45">
        <v>188</v>
      </c>
      <c r="B192" s="48" t="s">
        <v>652</v>
      </c>
      <c r="C192" s="45" t="s">
        <v>336</v>
      </c>
      <c r="D192" s="45" t="s">
        <v>27</v>
      </c>
      <c r="E192" s="48" t="s">
        <v>657</v>
      </c>
      <c r="F192" s="49">
        <v>540000</v>
      </c>
      <c r="G192" s="50">
        <v>1</v>
      </c>
    </row>
    <row r="193" spans="1:7" s="51" customFormat="1" ht="47.25" customHeight="1">
      <c r="A193" s="45">
        <v>189</v>
      </c>
      <c r="B193" s="48" t="s">
        <v>653</v>
      </c>
      <c r="C193" s="45" t="s">
        <v>336</v>
      </c>
      <c r="D193" s="45" t="s">
        <v>27</v>
      </c>
      <c r="E193" s="48" t="s">
        <v>658</v>
      </c>
      <c r="F193" s="49">
        <v>540000</v>
      </c>
      <c r="G193" s="50">
        <v>1</v>
      </c>
    </row>
    <row r="194" spans="1:7" s="51" customFormat="1" ht="27" customHeight="1">
      <c r="A194" s="45">
        <v>190</v>
      </c>
      <c r="B194" s="48" t="s">
        <v>655</v>
      </c>
      <c r="C194" s="45" t="s">
        <v>336</v>
      </c>
      <c r="D194" s="45" t="s">
        <v>27</v>
      </c>
      <c r="E194" s="48" t="s">
        <v>659</v>
      </c>
      <c r="F194" s="49">
        <v>540000</v>
      </c>
      <c r="G194" s="50">
        <v>1</v>
      </c>
    </row>
    <row r="195" spans="1:7" s="51" customFormat="1" ht="27" customHeight="1">
      <c r="A195" s="45">
        <v>191</v>
      </c>
      <c r="B195" s="48" t="s">
        <v>654</v>
      </c>
      <c r="C195" s="45" t="s">
        <v>336</v>
      </c>
      <c r="D195" s="45" t="s">
        <v>27</v>
      </c>
      <c r="E195" s="48" t="s">
        <v>660</v>
      </c>
      <c r="F195" s="49">
        <v>540000</v>
      </c>
      <c r="G195" s="50">
        <v>1</v>
      </c>
    </row>
    <row r="196" spans="1:7" s="51" customFormat="1" ht="27" customHeight="1">
      <c r="A196" s="45">
        <v>192</v>
      </c>
      <c r="B196" s="48" t="s">
        <v>665</v>
      </c>
      <c r="C196" s="45" t="s">
        <v>330</v>
      </c>
      <c r="D196" s="45" t="s">
        <v>28</v>
      </c>
      <c r="E196" s="48" t="s">
        <v>666</v>
      </c>
      <c r="F196" s="49">
        <v>540000</v>
      </c>
      <c r="G196" s="50">
        <v>1</v>
      </c>
    </row>
    <row r="197" spans="1:7" s="51" customFormat="1" ht="36.75" customHeight="1">
      <c r="A197" s="45">
        <v>193</v>
      </c>
      <c r="B197" s="48" t="s">
        <v>675</v>
      </c>
      <c r="C197" s="45" t="s">
        <v>336</v>
      </c>
      <c r="D197" s="45" t="s">
        <v>668</v>
      </c>
      <c r="E197" s="48" t="s">
        <v>781</v>
      </c>
      <c r="F197" s="49">
        <v>540000</v>
      </c>
      <c r="G197" s="50">
        <v>1</v>
      </c>
    </row>
    <row r="198" spans="1:7" s="51" customFormat="1" ht="27" customHeight="1">
      <c r="A198" s="45">
        <v>194</v>
      </c>
      <c r="B198" s="48" t="s">
        <v>676</v>
      </c>
      <c r="C198" s="45" t="s">
        <v>382</v>
      </c>
      <c r="D198" s="45" t="s">
        <v>668</v>
      </c>
      <c r="E198" s="48" t="s">
        <v>679</v>
      </c>
      <c r="F198" s="49">
        <v>540000</v>
      </c>
      <c r="G198" s="50">
        <v>1</v>
      </c>
    </row>
    <row r="199" spans="1:7" s="51" customFormat="1" ht="27" customHeight="1">
      <c r="A199" s="45">
        <v>195</v>
      </c>
      <c r="B199" s="48" t="s">
        <v>677</v>
      </c>
      <c r="C199" s="45" t="s">
        <v>334</v>
      </c>
      <c r="D199" s="45" t="s">
        <v>668</v>
      </c>
      <c r="E199" s="48" t="s">
        <v>680</v>
      </c>
      <c r="F199" s="49">
        <v>540000</v>
      </c>
      <c r="G199" s="50">
        <v>1</v>
      </c>
    </row>
    <row r="200" spans="1:7" s="51" customFormat="1" ht="27" customHeight="1">
      <c r="A200" s="45">
        <v>196</v>
      </c>
      <c r="B200" s="48" t="s">
        <v>678</v>
      </c>
      <c r="C200" s="45" t="s">
        <v>330</v>
      </c>
      <c r="D200" s="45" t="s">
        <v>668</v>
      </c>
      <c r="E200" s="48" t="s">
        <v>681</v>
      </c>
      <c r="F200" s="49">
        <v>540000</v>
      </c>
      <c r="G200" s="50">
        <v>1</v>
      </c>
    </row>
    <row r="201" spans="1:7" s="51" customFormat="1" ht="27" customHeight="1">
      <c r="A201" s="45">
        <v>197</v>
      </c>
      <c r="B201" s="48" t="s">
        <v>684</v>
      </c>
      <c r="C201" s="45">
        <v>8</v>
      </c>
      <c r="D201" s="45" t="s">
        <v>29</v>
      </c>
      <c r="E201" s="48" t="s">
        <v>685</v>
      </c>
      <c r="F201" s="49">
        <v>540000</v>
      </c>
      <c r="G201" s="50">
        <v>1</v>
      </c>
    </row>
    <row r="202" spans="1:7" s="51" customFormat="1" ht="81" customHeight="1">
      <c r="A202" s="45">
        <v>198</v>
      </c>
      <c r="B202" s="48" t="s">
        <v>691</v>
      </c>
      <c r="C202" s="45" t="s">
        <v>330</v>
      </c>
      <c r="D202" s="45" t="s">
        <v>30</v>
      </c>
      <c r="E202" s="48" t="s">
        <v>696</v>
      </c>
      <c r="F202" s="49">
        <v>540000</v>
      </c>
      <c r="G202" s="50">
        <v>1</v>
      </c>
    </row>
    <row r="203" spans="1:7" s="51" customFormat="1" ht="51" customHeight="1">
      <c r="A203" s="45">
        <v>199</v>
      </c>
      <c r="B203" s="48" t="s">
        <v>692</v>
      </c>
      <c r="C203" s="45" t="s">
        <v>361</v>
      </c>
      <c r="D203" s="45" t="s">
        <v>30</v>
      </c>
      <c r="E203" s="48" t="s">
        <v>697</v>
      </c>
      <c r="F203" s="49">
        <v>540000</v>
      </c>
      <c r="G203" s="50">
        <v>1</v>
      </c>
    </row>
    <row r="204" spans="1:7" s="51" customFormat="1" ht="57.75" customHeight="1">
      <c r="A204" s="45">
        <v>200</v>
      </c>
      <c r="B204" s="48" t="s">
        <v>693</v>
      </c>
      <c r="C204" s="45" t="s">
        <v>330</v>
      </c>
      <c r="D204" s="45" t="s">
        <v>30</v>
      </c>
      <c r="E204" s="48" t="s">
        <v>603</v>
      </c>
      <c r="F204" s="49">
        <v>540000</v>
      </c>
      <c r="G204" s="50">
        <v>1</v>
      </c>
    </row>
    <row r="205" spans="1:7" s="51" customFormat="1" ht="27" customHeight="1">
      <c r="A205" s="45">
        <v>201</v>
      </c>
      <c r="B205" s="48" t="s">
        <v>695</v>
      </c>
      <c r="C205" s="45" t="s">
        <v>334</v>
      </c>
      <c r="D205" s="45" t="s">
        <v>30</v>
      </c>
      <c r="E205" s="48" t="s">
        <v>346</v>
      </c>
      <c r="F205" s="49">
        <v>540000</v>
      </c>
      <c r="G205" s="50">
        <v>1</v>
      </c>
    </row>
    <row r="206" spans="1:7" s="51" customFormat="1" ht="43.5" customHeight="1">
      <c r="A206" s="45">
        <v>202</v>
      </c>
      <c r="B206" s="48" t="s">
        <v>701</v>
      </c>
      <c r="C206" s="45" t="s">
        <v>702</v>
      </c>
      <c r="D206" s="45" t="s">
        <v>31</v>
      </c>
      <c r="E206" s="48" t="s">
        <v>703</v>
      </c>
      <c r="F206" s="49">
        <v>540000</v>
      </c>
      <c r="G206" s="50">
        <v>1</v>
      </c>
    </row>
    <row r="207" spans="1:7" s="51" customFormat="1" ht="27" customHeight="1">
      <c r="A207" s="45">
        <v>203</v>
      </c>
      <c r="B207" s="48" t="s">
        <v>704</v>
      </c>
      <c r="C207" s="45" t="s">
        <v>694</v>
      </c>
      <c r="D207" s="45" t="s">
        <v>32</v>
      </c>
      <c r="E207" s="48" t="s">
        <v>257</v>
      </c>
      <c r="F207" s="49">
        <v>540000</v>
      </c>
      <c r="G207" s="50">
        <v>1</v>
      </c>
    </row>
    <row r="208" spans="1:7" s="51" customFormat="1" ht="36.75" customHeight="1">
      <c r="A208" s="45">
        <v>204</v>
      </c>
      <c r="B208" s="48" t="s">
        <v>706</v>
      </c>
      <c r="C208" s="45" t="s">
        <v>694</v>
      </c>
      <c r="D208" s="45" t="s">
        <v>33</v>
      </c>
      <c r="E208" s="48" t="s">
        <v>710</v>
      </c>
      <c r="F208" s="49">
        <v>540000</v>
      </c>
      <c r="G208" s="50">
        <v>1</v>
      </c>
    </row>
    <row r="209" spans="1:7" s="51" customFormat="1" ht="27" customHeight="1">
      <c r="A209" s="45">
        <v>205</v>
      </c>
      <c r="B209" s="48" t="s">
        <v>707</v>
      </c>
      <c r="C209" s="45" t="s">
        <v>708</v>
      </c>
      <c r="D209" s="45" t="s">
        <v>33</v>
      </c>
      <c r="E209" s="48" t="s">
        <v>370</v>
      </c>
      <c r="F209" s="49">
        <v>540000</v>
      </c>
      <c r="G209" s="50">
        <v>1</v>
      </c>
    </row>
    <row r="210" spans="1:7" s="51" customFormat="1" ht="27" customHeight="1">
      <c r="A210" s="45">
        <v>206</v>
      </c>
      <c r="B210" s="48" t="s">
        <v>709</v>
      </c>
      <c r="C210" s="45" t="s">
        <v>694</v>
      </c>
      <c r="D210" s="45" t="s">
        <v>33</v>
      </c>
      <c r="E210" s="48" t="s">
        <v>711</v>
      </c>
      <c r="F210" s="49">
        <v>540000</v>
      </c>
      <c r="G210" s="50">
        <v>1</v>
      </c>
    </row>
    <row r="211" spans="1:7" s="51" customFormat="1" ht="27" customHeight="1">
      <c r="A211" s="45">
        <v>207</v>
      </c>
      <c r="B211" s="48" t="s">
        <v>716</v>
      </c>
      <c r="C211" s="45" t="s">
        <v>717</v>
      </c>
      <c r="D211" s="45" t="s">
        <v>34</v>
      </c>
      <c r="E211" s="48" t="s">
        <v>267</v>
      </c>
      <c r="F211" s="49">
        <v>540000</v>
      </c>
      <c r="G211" s="50">
        <v>1</v>
      </c>
    </row>
    <row r="212" spans="1:7" s="51" customFormat="1" ht="27" customHeight="1">
      <c r="A212" s="45">
        <v>208</v>
      </c>
      <c r="B212" s="48" t="s">
        <v>727</v>
      </c>
      <c r="C212" s="45" t="s">
        <v>694</v>
      </c>
      <c r="D212" s="45" t="s">
        <v>35</v>
      </c>
      <c r="E212" s="48" t="s">
        <v>731</v>
      </c>
      <c r="F212" s="49">
        <v>540000</v>
      </c>
      <c r="G212" s="50">
        <v>1</v>
      </c>
    </row>
    <row r="213" spans="1:7" s="51" customFormat="1" ht="27" customHeight="1">
      <c r="A213" s="45">
        <v>209</v>
      </c>
      <c r="B213" s="48" t="s">
        <v>728</v>
      </c>
      <c r="C213" s="45" t="s">
        <v>702</v>
      </c>
      <c r="D213" s="45" t="s">
        <v>35</v>
      </c>
      <c r="E213" s="48" t="s">
        <v>732</v>
      </c>
      <c r="F213" s="49">
        <v>540000</v>
      </c>
      <c r="G213" s="50">
        <v>1</v>
      </c>
    </row>
    <row r="214" spans="1:7" s="51" customFormat="1" ht="27" customHeight="1">
      <c r="A214" s="45">
        <v>210</v>
      </c>
      <c r="B214" s="48" t="s">
        <v>729</v>
      </c>
      <c r="C214" s="45" t="s">
        <v>702</v>
      </c>
      <c r="D214" s="45" t="s">
        <v>35</v>
      </c>
      <c r="E214" s="48" t="s">
        <v>732</v>
      </c>
      <c r="F214" s="49">
        <v>540000</v>
      </c>
      <c r="G214" s="50">
        <v>1</v>
      </c>
    </row>
    <row r="215" spans="1:7" s="51" customFormat="1" ht="27" customHeight="1">
      <c r="A215" s="45">
        <v>211</v>
      </c>
      <c r="B215" s="48" t="s">
        <v>730</v>
      </c>
      <c r="C215" s="45" t="s">
        <v>702</v>
      </c>
      <c r="D215" s="45" t="s">
        <v>35</v>
      </c>
      <c r="E215" s="48" t="s">
        <v>733</v>
      </c>
      <c r="F215" s="49">
        <v>540000</v>
      </c>
      <c r="G215" s="50">
        <v>1</v>
      </c>
    </row>
    <row r="216" spans="1:7" s="51" customFormat="1" ht="27" customHeight="1">
      <c r="A216" s="45">
        <v>212</v>
      </c>
      <c r="B216" s="48" t="s">
        <v>735</v>
      </c>
      <c r="C216" s="45" t="s">
        <v>702</v>
      </c>
      <c r="D216" s="45" t="s">
        <v>36</v>
      </c>
      <c r="E216" s="48" t="s">
        <v>351</v>
      </c>
      <c r="F216" s="49">
        <v>540000</v>
      </c>
      <c r="G216" s="50">
        <v>1</v>
      </c>
    </row>
    <row r="217" spans="1:7" s="51" customFormat="1" ht="27" customHeight="1">
      <c r="A217" s="45">
        <v>213</v>
      </c>
      <c r="B217" s="58" t="s">
        <v>741</v>
      </c>
      <c r="C217" s="59" t="s">
        <v>708</v>
      </c>
      <c r="D217" s="59" t="s">
        <v>739</v>
      </c>
      <c r="E217" s="58" t="s">
        <v>267</v>
      </c>
      <c r="F217" s="49">
        <v>540000</v>
      </c>
      <c r="G217" s="50">
        <v>1</v>
      </c>
    </row>
    <row r="218" spans="1:7" s="51" customFormat="1" ht="27" customHeight="1">
      <c r="A218" s="45">
        <v>214</v>
      </c>
      <c r="B218" s="48" t="s">
        <v>750</v>
      </c>
      <c r="C218" s="45" t="s">
        <v>751</v>
      </c>
      <c r="D218" s="45" t="s">
        <v>833</v>
      </c>
      <c r="E218" s="48" t="s">
        <v>619</v>
      </c>
      <c r="F218" s="49">
        <v>540000</v>
      </c>
      <c r="G218" s="50">
        <v>1</v>
      </c>
    </row>
    <row r="219" spans="1:7" s="51" customFormat="1" ht="27" customHeight="1">
      <c r="A219" s="45">
        <v>215</v>
      </c>
      <c r="B219" s="48" t="s">
        <v>752</v>
      </c>
      <c r="C219" s="45" t="s">
        <v>717</v>
      </c>
      <c r="D219" s="45" t="s">
        <v>833</v>
      </c>
      <c r="E219" s="48" t="s">
        <v>760</v>
      </c>
      <c r="F219" s="49">
        <v>540000</v>
      </c>
      <c r="G219" s="50">
        <v>1</v>
      </c>
    </row>
    <row r="220" spans="1:7" s="51" customFormat="1" ht="27" customHeight="1">
      <c r="A220" s="45">
        <v>216</v>
      </c>
      <c r="B220" s="48" t="s">
        <v>753</v>
      </c>
      <c r="C220" s="45" t="s">
        <v>754</v>
      </c>
      <c r="D220" s="45" t="s">
        <v>833</v>
      </c>
      <c r="E220" s="48" t="s">
        <v>761</v>
      </c>
      <c r="F220" s="49">
        <v>540000</v>
      </c>
      <c r="G220" s="50">
        <v>1</v>
      </c>
    </row>
    <row r="221" spans="1:7" s="51" customFormat="1" ht="27" customHeight="1">
      <c r="A221" s="45">
        <v>217</v>
      </c>
      <c r="B221" s="46" t="s">
        <v>755</v>
      </c>
      <c r="C221" s="47" t="s">
        <v>756</v>
      </c>
      <c r="D221" s="45" t="s">
        <v>833</v>
      </c>
      <c r="E221" s="48" t="s">
        <v>762</v>
      </c>
      <c r="F221" s="49">
        <v>540000</v>
      </c>
      <c r="G221" s="50">
        <v>1</v>
      </c>
    </row>
    <row r="222" spans="1:7" s="51" customFormat="1" ht="27" customHeight="1">
      <c r="A222" s="45">
        <v>218</v>
      </c>
      <c r="B222" s="46" t="s">
        <v>757</v>
      </c>
      <c r="C222" s="47" t="s">
        <v>758</v>
      </c>
      <c r="D222" s="45" t="s">
        <v>833</v>
      </c>
      <c r="E222" s="48" t="s">
        <v>154</v>
      </c>
      <c r="F222" s="49">
        <v>540000</v>
      </c>
      <c r="G222" s="50">
        <v>1</v>
      </c>
    </row>
    <row r="223" spans="1:7" s="51" customFormat="1" ht="39.75" customHeight="1">
      <c r="A223" s="45">
        <v>219</v>
      </c>
      <c r="B223" s="48" t="s">
        <v>749</v>
      </c>
      <c r="C223" s="45" t="s">
        <v>717</v>
      </c>
      <c r="D223" s="45" t="s">
        <v>833</v>
      </c>
      <c r="E223" s="48" t="s">
        <v>768</v>
      </c>
      <c r="F223" s="49">
        <v>540000</v>
      </c>
      <c r="G223" s="50">
        <v>1</v>
      </c>
    </row>
    <row r="224" spans="1:7" s="51" customFormat="1" ht="27" customHeight="1">
      <c r="A224" s="45">
        <v>220</v>
      </c>
      <c r="B224" s="46" t="s">
        <v>759</v>
      </c>
      <c r="C224" s="47" t="s">
        <v>758</v>
      </c>
      <c r="D224" s="45" t="s">
        <v>833</v>
      </c>
      <c r="E224" s="48" t="s">
        <v>154</v>
      </c>
      <c r="F224" s="49">
        <v>540000</v>
      </c>
      <c r="G224" s="50">
        <v>1</v>
      </c>
    </row>
    <row r="225" spans="1:7" ht="25.5" customHeight="1">
      <c r="A225" s="69" t="s">
        <v>798</v>
      </c>
      <c r="B225" s="69"/>
      <c r="C225" s="69"/>
      <c r="D225" s="69"/>
      <c r="E225" s="69"/>
      <c r="F225" s="67">
        <f>SUM(F5:F224)</f>
        <v>118800000</v>
      </c>
      <c r="G225" s="68">
        <f>SUM(G5:G224)</f>
        <v>220</v>
      </c>
    </row>
    <row r="226" spans="1:7" ht="42" customHeight="1">
      <c r="A226" s="60" t="s">
        <v>799</v>
      </c>
      <c r="B226" s="61"/>
      <c r="C226" s="61"/>
      <c r="D226" s="61"/>
      <c r="E226" s="61"/>
      <c r="F226" s="61"/>
      <c r="G226" s="61"/>
    </row>
    <row r="227" spans="1:7" ht="15.75">
      <c r="A227" s="62"/>
      <c r="B227" s="62"/>
      <c r="C227" s="62"/>
      <c r="D227" s="62"/>
      <c r="E227" s="63"/>
      <c r="F227" s="37"/>
      <c r="G227" s="37"/>
    </row>
    <row r="232" ht="15.75">
      <c r="E232" s="65"/>
    </row>
  </sheetData>
  <sheetProtection/>
  <mergeCells count="6">
    <mergeCell ref="A3:F3"/>
    <mergeCell ref="A227:D227"/>
    <mergeCell ref="A225:E225"/>
    <mergeCell ref="A226:G226"/>
    <mergeCell ref="A1:G1"/>
    <mergeCell ref="A2:G2"/>
  </mergeCells>
  <printOptions horizontalCentered="1"/>
  <pageMargins left="0.35" right="0.35" top="0.5" bottom="0.5" header="0.38"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V13"/>
  <sheetViews>
    <sheetView zoomScalePageLayoutView="0" workbookViewId="0" topLeftCell="A1">
      <selection activeCell="W12" sqref="W12"/>
    </sheetView>
  </sheetViews>
  <sheetFormatPr defaultColWidth="9.00390625" defaultRowHeight="12.75"/>
  <sheetData>
    <row r="1" spans="1:256" ht="12.75">
      <c r="A1" t="e">
        <f>IF(#REF!,"AAAAAE8ffwA=",0)</f>
        <v>#REF!</v>
      </c>
      <c r="B1" t="e">
        <f>AND(#REF!,"AAAAAE8ffwE=")</f>
        <v>#REF!</v>
      </c>
      <c r="C1" t="e">
        <f>AND(#REF!,"AAAAAE8ffwI=")</f>
        <v>#REF!</v>
      </c>
      <c r="D1" t="e">
        <f>AND(#REF!,"AAAAAE8ffwM=")</f>
        <v>#REF!</v>
      </c>
      <c r="E1" t="e">
        <f>AND(#REF!,"AAAAAE8ffwQ=")</f>
        <v>#REF!</v>
      </c>
      <c r="F1" t="e">
        <f>AND(#REF!,"AAAAAE8ffwU=")</f>
        <v>#REF!</v>
      </c>
      <c r="G1" t="e">
        <f>AND(#REF!,"AAAAAE8ffwY=")</f>
        <v>#REF!</v>
      </c>
      <c r="H1" t="e">
        <f>AND(#REF!,"AAAAAE8ffwc=")</f>
        <v>#REF!</v>
      </c>
      <c r="I1" t="e">
        <f>AND(#REF!,"AAAAAE8ffwg=")</f>
        <v>#REF!</v>
      </c>
      <c r="J1" t="e">
        <f>AND(#REF!,"AAAAAE8ffwk=")</f>
        <v>#REF!</v>
      </c>
      <c r="K1" t="e">
        <f>AND(#REF!,"AAAAAE8ffwo=")</f>
        <v>#REF!</v>
      </c>
      <c r="L1" t="e">
        <f>AND(#REF!,"AAAAAE8ffws=")</f>
        <v>#REF!</v>
      </c>
      <c r="M1" t="e">
        <f>AND(#REF!,"AAAAAE8ffww=")</f>
        <v>#REF!</v>
      </c>
      <c r="N1" t="e">
        <f>AND(#REF!,"AAAAAE8ffw0=")</f>
        <v>#REF!</v>
      </c>
      <c r="O1" t="e">
        <f>AND(#REF!,"AAAAAE8ffw4=")</f>
        <v>#REF!</v>
      </c>
      <c r="P1" t="e">
        <f>AND(#REF!,"AAAAAE8ffw8=")</f>
        <v>#REF!</v>
      </c>
      <c r="Q1" t="e">
        <f>AND(#REF!,"AAAAAE8ffxA=")</f>
        <v>#REF!</v>
      </c>
      <c r="R1" t="e">
        <f>AND(#REF!,"AAAAAE8ffxE=")</f>
        <v>#REF!</v>
      </c>
      <c r="S1" t="e">
        <f>AND(#REF!,"AAAAAE8ffxI=")</f>
        <v>#REF!</v>
      </c>
      <c r="T1" t="e">
        <f>AND(#REF!,"AAAAAE8ffxM=")</f>
        <v>#REF!</v>
      </c>
      <c r="U1" t="e">
        <f>AND(#REF!,"AAAAAE8ffxQ=")</f>
        <v>#REF!</v>
      </c>
      <c r="V1" t="e">
        <f>AND(#REF!,"AAAAAE8ffxU=")</f>
        <v>#REF!</v>
      </c>
      <c r="W1" t="e">
        <f>AND(#REF!,"AAAAAE8ffxY=")</f>
        <v>#REF!</v>
      </c>
      <c r="X1" t="e">
        <f>AND(#REF!,"AAAAAE8ffxc=")</f>
        <v>#REF!</v>
      </c>
      <c r="Y1" t="e">
        <f>AND(#REF!,"AAAAAE8ffxg=")</f>
        <v>#REF!</v>
      </c>
      <c r="Z1" t="e">
        <f>AND(#REF!,"AAAAAE8ffxk=")</f>
        <v>#REF!</v>
      </c>
      <c r="AA1" t="e">
        <f>AND(#REF!,"AAAAAE8ffxo=")</f>
        <v>#REF!</v>
      </c>
      <c r="AB1" t="e">
        <f>AND(#REF!,"AAAAAE8ffxs=")</f>
        <v>#REF!</v>
      </c>
      <c r="AC1" t="e">
        <f>AND(#REF!,"AAAAAE8ffxw=")</f>
        <v>#REF!</v>
      </c>
      <c r="AD1" t="e">
        <f>IF(#REF!,"AAAAAE8ffx0=",0)</f>
        <v>#REF!</v>
      </c>
      <c r="AE1" t="e">
        <f>AND(#REF!,"AAAAAE8ffx4=")</f>
        <v>#REF!</v>
      </c>
      <c r="AF1" t="e">
        <f>AND(#REF!,"AAAAAE8ffx8=")</f>
        <v>#REF!</v>
      </c>
      <c r="AG1" t="e">
        <f>AND(#REF!,"AAAAAE8ffyA=")</f>
        <v>#REF!</v>
      </c>
      <c r="AH1" t="e">
        <f>AND(#REF!,"AAAAAE8ffyE=")</f>
        <v>#REF!</v>
      </c>
      <c r="AI1" t="e">
        <f>AND(#REF!,"AAAAAE8ffyI=")</f>
        <v>#REF!</v>
      </c>
      <c r="AJ1" t="e">
        <f>AND(#REF!,"AAAAAE8ffyM=")</f>
        <v>#REF!</v>
      </c>
      <c r="AK1" t="e">
        <f>AND(#REF!,"AAAAAE8ffyQ=")</f>
        <v>#REF!</v>
      </c>
      <c r="AL1" t="e">
        <f>AND(#REF!,"AAAAAE8ffyU=")</f>
        <v>#REF!</v>
      </c>
      <c r="AM1" t="e">
        <f>AND(#REF!,"AAAAAE8ffyY=")</f>
        <v>#REF!</v>
      </c>
      <c r="AN1" t="e">
        <f>AND(#REF!,"AAAAAE8ffyc=")</f>
        <v>#REF!</v>
      </c>
      <c r="AO1" t="e">
        <f>AND(#REF!,"AAAAAE8ffyg=")</f>
        <v>#REF!</v>
      </c>
      <c r="AP1" t="e">
        <f>AND(#REF!,"AAAAAE8ffyk=")</f>
        <v>#REF!</v>
      </c>
      <c r="AQ1" t="e">
        <f>AND(#REF!,"AAAAAE8ffyo=")</f>
        <v>#REF!</v>
      </c>
      <c r="AR1" t="e">
        <f>AND(#REF!,"AAAAAE8ffys=")</f>
        <v>#REF!</v>
      </c>
      <c r="AS1" t="e">
        <f>AND(#REF!,"AAAAAE8ffyw=")</f>
        <v>#REF!</v>
      </c>
      <c r="AT1" t="e">
        <f>AND(#REF!,"AAAAAE8ffy0=")</f>
        <v>#REF!</v>
      </c>
      <c r="AU1" t="e">
        <f>AND(#REF!,"AAAAAE8ffy4=")</f>
        <v>#REF!</v>
      </c>
      <c r="AV1" t="e">
        <f>AND(#REF!,"AAAAAE8ffy8=")</f>
        <v>#REF!</v>
      </c>
      <c r="AW1" t="e">
        <f>AND(#REF!,"AAAAAE8ffzA=")</f>
        <v>#REF!</v>
      </c>
      <c r="AX1" t="e">
        <f>AND(#REF!,"AAAAAE8ffzE=")</f>
        <v>#REF!</v>
      </c>
      <c r="AY1" t="e">
        <f>AND(#REF!,"AAAAAE8ffzI=")</f>
        <v>#REF!</v>
      </c>
      <c r="AZ1" t="e">
        <f>AND(#REF!,"AAAAAE8ffzM=")</f>
        <v>#REF!</v>
      </c>
      <c r="BA1" t="e">
        <f>AND(#REF!,"AAAAAE8ffzQ=")</f>
        <v>#REF!</v>
      </c>
      <c r="BB1" t="e">
        <f>AND(#REF!,"AAAAAE8ffzU=")</f>
        <v>#REF!</v>
      </c>
      <c r="BC1" t="e">
        <f>AND(#REF!,"AAAAAE8ffzY=")</f>
        <v>#REF!</v>
      </c>
      <c r="BD1" t="e">
        <f>AND(#REF!,"AAAAAE8ffzc=")</f>
        <v>#REF!</v>
      </c>
      <c r="BE1" t="e">
        <f>AND(#REF!,"AAAAAE8ffzg=")</f>
        <v>#REF!</v>
      </c>
      <c r="BF1" t="e">
        <f>AND(#REF!,"AAAAAE8ffzk=")</f>
        <v>#REF!</v>
      </c>
      <c r="BG1" t="e">
        <f>IF(#REF!,"AAAAAE8ffzo=",0)</f>
        <v>#REF!</v>
      </c>
      <c r="BH1" t="e">
        <f>AND(#REF!,"AAAAAE8ffzs=")</f>
        <v>#REF!</v>
      </c>
      <c r="BI1" t="e">
        <f>AND(#REF!,"AAAAAE8ffzw=")</f>
        <v>#REF!</v>
      </c>
      <c r="BJ1" t="e">
        <f>AND(#REF!,"AAAAAE8ffz0=")</f>
        <v>#REF!</v>
      </c>
      <c r="BK1" t="e">
        <f>AND(#REF!,"AAAAAE8ffz4=")</f>
        <v>#REF!</v>
      </c>
      <c r="BL1" t="e">
        <f>AND(#REF!,"AAAAAE8ffz8=")</f>
        <v>#REF!</v>
      </c>
      <c r="BM1" t="e">
        <f>AND(#REF!,"AAAAAE8ff0A=")</f>
        <v>#REF!</v>
      </c>
      <c r="BN1" t="e">
        <f>AND(#REF!,"AAAAAE8ff0E=")</f>
        <v>#REF!</v>
      </c>
      <c r="BO1" t="e">
        <f>AND(#REF!,"AAAAAE8ff0I=")</f>
        <v>#REF!</v>
      </c>
      <c r="BP1" t="e">
        <f>AND(#REF!,"AAAAAE8ff0M=")</f>
        <v>#REF!</v>
      </c>
      <c r="BQ1" t="e">
        <f>AND(#REF!,"AAAAAE8ff0Q=")</f>
        <v>#REF!</v>
      </c>
      <c r="BR1" t="e">
        <f>AND(#REF!,"AAAAAE8ff0U=")</f>
        <v>#REF!</v>
      </c>
      <c r="BS1" t="e">
        <f>AND(#REF!,"AAAAAE8ff0Y=")</f>
        <v>#REF!</v>
      </c>
      <c r="BT1" t="e">
        <f>AND(#REF!,"AAAAAE8ff0c=")</f>
        <v>#REF!</v>
      </c>
      <c r="BU1" t="e">
        <f>AND(#REF!,"AAAAAE8ff0g=")</f>
        <v>#REF!</v>
      </c>
      <c r="BV1" t="e">
        <f>AND(#REF!,"AAAAAE8ff0k=")</f>
        <v>#REF!</v>
      </c>
      <c r="BW1" t="e">
        <f>AND(#REF!,"AAAAAE8ff0o=")</f>
        <v>#REF!</v>
      </c>
      <c r="BX1" t="e">
        <f>AND(#REF!,"AAAAAE8ff0s=")</f>
        <v>#REF!</v>
      </c>
      <c r="BY1" t="e">
        <f>AND(#REF!,"AAAAAE8ff0w=")</f>
        <v>#REF!</v>
      </c>
      <c r="BZ1" t="e">
        <f>AND(#REF!,"AAAAAE8ff00=")</f>
        <v>#REF!</v>
      </c>
      <c r="CA1" t="e">
        <f>AND(#REF!,"AAAAAE8ff04=")</f>
        <v>#REF!</v>
      </c>
      <c r="CB1" t="e">
        <f>AND(#REF!,"AAAAAE8ff08=")</f>
        <v>#REF!</v>
      </c>
      <c r="CC1" t="e">
        <f>AND(#REF!,"AAAAAE8ff1A=")</f>
        <v>#REF!</v>
      </c>
      <c r="CD1" t="e">
        <f>AND(#REF!,"AAAAAE8ff1E=")</f>
        <v>#REF!</v>
      </c>
      <c r="CE1" t="e">
        <f>AND(#REF!,"AAAAAE8ff1I=")</f>
        <v>#REF!</v>
      </c>
      <c r="CF1" t="e">
        <f>AND(#REF!,"AAAAAE8ff1M=")</f>
        <v>#REF!</v>
      </c>
      <c r="CG1" t="e">
        <f>AND(#REF!,"AAAAAE8ff1Q=")</f>
        <v>#REF!</v>
      </c>
      <c r="CH1" t="e">
        <f>AND(#REF!,"AAAAAE8ff1U=")</f>
        <v>#REF!</v>
      </c>
      <c r="CI1" t="e">
        <f>AND(#REF!,"AAAAAE8ff1Y=")</f>
        <v>#REF!</v>
      </c>
      <c r="CJ1" t="e">
        <f>IF(#REF!,"AAAAAE8ff1c=",0)</f>
        <v>#REF!</v>
      </c>
      <c r="CK1" t="e">
        <f>AND(#REF!,"AAAAAE8ff1g=")</f>
        <v>#REF!</v>
      </c>
      <c r="CL1" t="e">
        <f>AND(#REF!,"AAAAAE8ff1k=")</f>
        <v>#REF!</v>
      </c>
      <c r="CM1" t="e">
        <f>AND(#REF!,"AAAAAE8ff1o=")</f>
        <v>#REF!</v>
      </c>
      <c r="CN1" t="e">
        <f>AND(#REF!,"AAAAAE8ff1s=")</f>
        <v>#REF!</v>
      </c>
      <c r="CO1" t="e">
        <f>AND(#REF!,"AAAAAE8ff1w=")</f>
        <v>#REF!</v>
      </c>
      <c r="CP1" t="e">
        <f>AND(#REF!,"AAAAAE8ff10=")</f>
        <v>#REF!</v>
      </c>
      <c r="CQ1" t="e">
        <f>AND(#REF!,"AAAAAE8ff14=")</f>
        <v>#REF!</v>
      </c>
      <c r="CR1" t="e">
        <f>AND(#REF!,"AAAAAE8ff18=")</f>
        <v>#REF!</v>
      </c>
      <c r="CS1" t="e">
        <f>AND(#REF!,"AAAAAE8ff2A=")</f>
        <v>#REF!</v>
      </c>
      <c r="CT1" t="e">
        <f>AND(#REF!,"AAAAAE8ff2E=")</f>
        <v>#REF!</v>
      </c>
      <c r="CU1" t="e">
        <f>AND(#REF!,"AAAAAE8ff2I=")</f>
        <v>#REF!</v>
      </c>
      <c r="CV1" t="e">
        <f>AND(#REF!,"AAAAAE8ff2M=")</f>
        <v>#REF!</v>
      </c>
      <c r="CW1" t="e">
        <f>AND(#REF!,"AAAAAE8ff2Q=")</f>
        <v>#REF!</v>
      </c>
      <c r="CX1" t="e">
        <f>AND(#REF!,"AAAAAE8ff2U=")</f>
        <v>#REF!</v>
      </c>
      <c r="CY1" t="e">
        <f>AND(#REF!,"AAAAAE8ff2Y=")</f>
        <v>#REF!</v>
      </c>
      <c r="CZ1" t="e">
        <f>AND(#REF!,"AAAAAE8ff2c=")</f>
        <v>#REF!</v>
      </c>
      <c r="DA1" t="e">
        <f>AND(#REF!,"AAAAAE8ff2g=")</f>
        <v>#REF!</v>
      </c>
      <c r="DB1" t="e">
        <f>AND(#REF!,"AAAAAE8ff2k=")</f>
        <v>#REF!</v>
      </c>
      <c r="DC1" t="e">
        <f>AND(#REF!,"AAAAAE8ff2o=")</f>
        <v>#REF!</v>
      </c>
      <c r="DD1" t="e">
        <f>AND(#REF!,"AAAAAE8ff2s=")</f>
        <v>#REF!</v>
      </c>
      <c r="DE1" t="e">
        <f>AND(#REF!,"AAAAAE8ff2w=")</f>
        <v>#REF!</v>
      </c>
      <c r="DF1" t="e">
        <f>AND(#REF!,"AAAAAE8ff20=")</f>
        <v>#REF!</v>
      </c>
      <c r="DG1" t="e">
        <f>AND(#REF!,"AAAAAE8ff24=")</f>
        <v>#REF!</v>
      </c>
      <c r="DH1" t="e">
        <f>AND(#REF!,"AAAAAE8ff28=")</f>
        <v>#REF!</v>
      </c>
      <c r="DI1" t="e">
        <f>AND(#REF!,"AAAAAE8ff3A=")</f>
        <v>#REF!</v>
      </c>
      <c r="DJ1" t="e">
        <f>AND(#REF!,"AAAAAE8ff3E=")</f>
        <v>#REF!</v>
      </c>
      <c r="DK1" t="e">
        <f>AND(#REF!,"AAAAAE8ff3I=")</f>
        <v>#REF!</v>
      </c>
      <c r="DL1" t="e">
        <f>AND(#REF!,"AAAAAE8ff3M=")</f>
        <v>#REF!</v>
      </c>
      <c r="DM1" t="e">
        <f>IF(#REF!,"AAAAAE8ff3Q=",0)</f>
        <v>#REF!</v>
      </c>
      <c r="DN1" t="e">
        <f>AND(#REF!,"AAAAAE8ff3U=")</f>
        <v>#REF!</v>
      </c>
      <c r="DO1" t="e">
        <f>AND(#REF!,"AAAAAE8ff3Y=")</f>
        <v>#REF!</v>
      </c>
      <c r="DP1" t="e">
        <f>AND(#REF!,"AAAAAE8ff3c=")</f>
        <v>#REF!</v>
      </c>
      <c r="DQ1" t="e">
        <f>AND(#REF!,"AAAAAE8ff3g=")</f>
        <v>#REF!</v>
      </c>
      <c r="DR1" t="e">
        <f>AND(#REF!,"AAAAAE8ff3k=")</f>
        <v>#REF!</v>
      </c>
      <c r="DS1" t="e">
        <f>AND(#REF!,"AAAAAE8ff3o=")</f>
        <v>#REF!</v>
      </c>
      <c r="DT1" t="e">
        <f>AND(#REF!,"AAAAAE8ff3s=")</f>
        <v>#REF!</v>
      </c>
      <c r="DU1" t="e">
        <f>AND(#REF!,"AAAAAE8ff3w=")</f>
        <v>#REF!</v>
      </c>
      <c r="DV1" t="e">
        <f>AND(#REF!,"AAAAAE8ff30=")</f>
        <v>#REF!</v>
      </c>
      <c r="DW1" t="e">
        <f>AND(#REF!,"AAAAAE8ff34=")</f>
        <v>#REF!</v>
      </c>
      <c r="DX1" t="e">
        <f>AND(#REF!,"AAAAAE8ff38=")</f>
        <v>#REF!</v>
      </c>
      <c r="DY1" t="e">
        <f>AND(#REF!,"AAAAAE8ff4A=")</f>
        <v>#REF!</v>
      </c>
      <c r="DZ1" t="e">
        <f>AND(#REF!,"AAAAAE8ff4E=")</f>
        <v>#REF!</v>
      </c>
      <c r="EA1" t="e">
        <f>AND(#REF!,"AAAAAE8ff4I=")</f>
        <v>#REF!</v>
      </c>
      <c r="EB1" t="e">
        <f>AND(#REF!,"AAAAAE8ff4M=")</f>
        <v>#REF!</v>
      </c>
      <c r="EC1" t="e">
        <f>AND(#REF!,"AAAAAE8ff4Q=")</f>
        <v>#REF!</v>
      </c>
      <c r="ED1" t="e">
        <f>AND(#REF!,"AAAAAE8ff4U=")</f>
        <v>#REF!</v>
      </c>
      <c r="EE1" t="e">
        <f>AND(#REF!,"AAAAAE8ff4Y=")</f>
        <v>#REF!</v>
      </c>
      <c r="EF1" t="e">
        <f>AND(#REF!,"AAAAAE8ff4c=")</f>
        <v>#REF!</v>
      </c>
      <c r="EG1" t="e">
        <f>AND(#REF!,"AAAAAE8ff4g=")</f>
        <v>#REF!</v>
      </c>
      <c r="EH1" t="e">
        <f>AND(#REF!,"AAAAAE8ff4k=")</f>
        <v>#REF!</v>
      </c>
      <c r="EI1" t="e">
        <f>AND(#REF!,"AAAAAE8ff4o=")</f>
        <v>#REF!</v>
      </c>
      <c r="EJ1" t="e">
        <f>AND(#REF!,"AAAAAE8ff4s=")</f>
        <v>#REF!</v>
      </c>
      <c r="EK1" t="e">
        <f>AND(#REF!,"AAAAAE8ff4w=")</f>
        <v>#REF!</v>
      </c>
      <c r="EL1" t="e">
        <f>AND(#REF!,"AAAAAE8ff40=")</f>
        <v>#REF!</v>
      </c>
      <c r="EM1" t="e">
        <f>AND(#REF!,"AAAAAE8ff44=")</f>
        <v>#REF!</v>
      </c>
      <c r="EN1" t="e">
        <f>AND(#REF!,"AAAAAE8ff48=")</f>
        <v>#REF!</v>
      </c>
      <c r="EO1" t="e">
        <f>AND(#REF!,"AAAAAE8ff5A=")</f>
        <v>#REF!</v>
      </c>
      <c r="EP1" t="e">
        <f>IF(#REF!,"AAAAAE8ff5E=",0)</f>
        <v>#REF!</v>
      </c>
      <c r="EQ1" t="e">
        <f>AND(#REF!,"AAAAAE8ff5I=")</f>
        <v>#REF!</v>
      </c>
      <c r="ER1" t="e">
        <f>AND(#REF!,"AAAAAE8ff5M=")</f>
        <v>#REF!</v>
      </c>
      <c r="ES1" t="e">
        <f>AND(#REF!,"AAAAAE8ff5Q=")</f>
        <v>#REF!</v>
      </c>
      <c r="ET1" t="e">
        <f>AND(#REF!,"AAAAAE8ff5U=")</f>
        <v>#REF!</v>
      </c>
      <c r="EU1" t="e">
        <f>AND(#REF!,"AAAAAE8ff5Y=")</f>
        <v>#REF!</v>
      </c>
      <c r="EV1" t="e">
        <f>AND(#REF!,"AAAAAE8ff5c=")</f>
        <v>#REF!</v>
      </c>
      <c r="EW1" t="e">
        <f>AND(#REF!,"AAAAAE8ff5g=")</f>
        <v>#REF!</v>
      </c>
      <c r="EX1" t="e">
        <f>AND(#REF!,"AAAAAE8ff5k=")</f>
        <v>#REF!</v>
      </c>
      <c r="EY1" t="e">
        <f>AND(#REF!,"AAAAAE8ff5o=")</f>
        <v>#REF!</v>
      </c>
      <c r="EZ1" t="e">
        <f>AND(#REF!,"AAAAAE8ff5s=")</f>
        <v>#REF!</v>
      </c>
      <c r="FA1" t="e">
        <f>AND(#REF!,"AAAAAE8ff5w=")</f>
        <v>#REF!</v>
      </c>
      <c r="FB1" t="e">
        <f>AND(#REF!,"AAAAAE8ff50=")</f>
        <v>#REF!</v>
      </c>
      <c r="FC1" t="e">
        <f>AND(#REF!,"AAAAAE8ff54=")</f>
        <v>#REF!</v>
      </c>
      <c r="FD1" t="e">
        <f>AND(#REF!,"AAAAAE8ff58=")</f>
        <v>#REF!</v>
      </c>
      <c r="FE1" t="e">
        <f>AND(#REF!,"AAAAAE8ff6A=")</f>
        <v>#REF!</v>
      </c>
      <c r="FF1" t="e">
        <f>AND(#REF!,"AAAAAE8ff6E=")</f>
        <v>#REF!</v>
      </c>
      <c r="FG1" t="e">
        <f>AND(#REF!,"AAAAAE8ff6I=")</f>
        <v>#REF!</v>
      </c>
      <c r="FH1" t="e">
        <f>AND(#REF!,"AAAAAE8ff6M=")</f>
        <v>#REF!</v>
      </c>
      <c r="FI1" t="e">
        <f>AND(#REF!,"AAAAAE8ff6Q=")</f>
        <v>#REF!</v>
      </c>
      <c r="FJ1" t="e">
        <f>AND(#REF!,"AAAAAE8ff6U=")</f>
        <v>#REF!</v>
      </c>
      <c r="FK1" t="e">
        <f>AND(#REF!,"AAAAAE8ff6Y=")</f>
        <v>#REF!</v>
      </c>
      <c r="FL1" t="e">
        <f>AND(#REF!,"AAAAAE8ff6c=")</f>
        <v>#REF!</v>
      </c>
      <c r="FM1" t="e">
        <f>AND(#REF!,"AAAAAE8ff6g=")</f>
        <v>#REF!</v>
      </c>
      <c r="FN1" t="e">
        <f>AND(#REF!,"AAAAAE8ff6k=")</f>
        <v>#REF!</v>
      </c>
      <c r="FO1" t="e">
        <f>AND(#REF!,"AAAAAE8ff6o=")</f>
        <v>#REF!</v>
      </c>
      <c r="FP1" t="e">
        <f>AND(#REF!,"AAAAAE8ff6s=")</f>
        <v>#REF!</v>
      </c>
      <c r="FQ1" t="e">
        <f>AND(#REF!,"AAAAAE8ff6w=")</f>
        <v>#REF!</v>
      </c>
      <c r="FR1" t="e">
        <f>AND(#REF!,"AAAAAE8ff60=")</f>
        <v>#REF!</v>
      </c>
      <c r="FS1" t="e">
        <f>IF(#REF!,"AAAAAE8ff64=",0)</f>
        <v>#REF!</v>
      </c>
      <c r="FT1" t="e">
        <f>AND(#REF!,"AAAAAE8ff68=")</f>
        <v>#REF!</v>
      </c>
      <c r="FU1" t="e">
        <f>AND(#REF!,"AAAAAE8ff7A=")</f>
        <v>#REF!</v>
      </c>
      <c r="FV1" t="e">
        <f>AND(#REF!,"AAAAAE8ff7E=")</f>
        <v>#REF!</v>
      </c>
      <c r="FW1" t="e">
        <f>AND(#REF!,"AAAAAE8ff7I=")</f>
        <v>#REF!</v>
      </c>
      <c r="FX1" t="e">
        <f>AND(#REF!,"AAAAAE8ff7M=")</f>
        <v>#REF!</v>
      </c>
      <c r="FY1" t="e">
        <f>AND(#REF!,"AAAAAE8ff7Q=")</f>
        <v>#REF!</v>
      </c>
      <c r="FZ1" t="e">
        <f>AND(#REF!,"AAAAAE8ff7U=")</f>
        <v>#REF!</v>
      </c>
      <c r="GA1" t="e">
        <f>AND(#REF!,"AAAAAE8ff7Y=")</f>
        <v>#REF!</v>
      </c>
      <c r="GB1" t="e">
        <f>AND(#REF!,"AAAAAE8ff7c=")</f>
        <v>#REF!</v>
      </c>
      <c r="GC1" t="e">
        <f>AND(#REF!,"AAAAAE8ff7g=")</f>
        <v>#REF!</v>
      </c>
      <c r="GD1" t="e">
        <f>AND(#REF!,"AAAAAE8ff7k=")</f>
        <v>#REF!</v>
      </c>
      <c r="GE1" t="e">
        <f>AND(#REF!,"AAAAAE8ff7o=")</f>
        <v>#REF!</v>
      </c>
      <c r="GF1" t="e">
        <f>AND(#REF!,"AAAAAE8ff7s=")</f>
        <v>#REF!</v>
      </c>
      <c r="GG1" t="e">
        <f>AND(#REF!,"AAAAAE8ff7w=")</f>
        <v>#REF!</v>
      </c>
      <c r="GH1" t="e">
        <f>AND(#REF!,"AAAAAE8ff70=")</f>
        <v>#REF!</v>
      </c>
      <c r="GI1" t="e">
        <f>AND(#REF!,"AAAAAE8ff74=")</f>
        <v>#REF!</v>
      </c>
      <c r="GJ1" t="e">
        <f>AND(#REF!,"AAAAAE8ff78=")</f>
        <v>#REF!</v>
      </c>
      <c r="GK1" t="e">
        <f>AND(#REF!,"AAAAAE8ff8A=")</f>
        <v>#REF!</v>
      </c>
      <c r="GL1" t="e">
        <f>AND(#REF!,"AAAAAE8ff8E=")</f>
        <v>#REF!</v>
      </c>
      <c r="GM1" t="e">
        <f>AND(#REF!,"AAAAAE8ff8I=")</f>
        <v>#REF!</v>
      </c>
      <c r="GN1" t="e">
        <f>AND(#REF!,"AAAAAE8ff8M=")</f>
        <v>#REF!</v>
      </c>
      <c r="GO1" t="e">
        <f>AND(#REF!,"AAAAAE8ff8Q=")</f>
        <v>#REF!</v>
      </c>
      <c r="GP1" t="e">
        <f>AND(#REF!,"AAAAAE8ff8U=")</f>
        <v>#REF!</v>
      </c>
      <c r="GQ1" t="e">
        <f>AND(#REF!,"AAAAAE8ff8Y=")</f>
        <v>#REF!</v>
      </c>
      <c r="GR1" t="e">
        <f>AND(#REF!,"AAAAAE8ff8c=")</f>
        <v>#REF!</v>
      </c>
      <c r="GS1" t="e">
        <f>AND(#REF!,"AAAAAE8ff8g=")</f>
        <v>#REF!</v>
      </c>
      <c r="GT1" t="e">
        <f>AND(#REF!,"AAAAAE8ff8k=")</f>
        <v>#REF!</v>
      </c>
      <c r="GU1" t="e">
        <f>AND(#REF!,"AAAAAE8ff8o=")</f>
        <v>#REF!</v>
      </c>
      <c r="GV1" t="e">
        <f>IF(#REF!,"AAAAAE8ff8s=",0)</f>
        <v>#REF!</v>
      </c>
      <c r="GW1" t="e">
        <f>AND(#REF!,"AAAAAE8ff8w=")</f>
        <v>#REF!</v>
      </c>
      <c r="GX1" t="e">
        <f>AND(#REF!,"AAAAAE8ff80=")</f>
        <v>#REF!</v>
      </c>
      <c r="GY1" t="e">
        <f>AND(#REF!,"AAAAAE8ff84=")</f>
        <v>#REF!</v>
      </c>
      <c r="GZ1" t="e">
        <f>AND(#REF!,"AAAAAE8ff88=")</f>
        <v>#REF!</v>
      </c>
      <c r="HA1" t="e">
        <f>AND(#REF!,"AAAAAE8ff9A=")</f>
        <v>#REF!</v>
      </c>
      <c r="HB1" t="e">
        <f>AND(#REF!,"AAAAAE8ff9E=")</f>
        <v>#REF!</v>
      </c>
      <c r="HC1" t="e">
        <f>AND(#REF!,"AAAAAE8ff9I=")</f>
        <v>#REF!</v>
      </c>
      <c r="HD1" t="e">
        <f>AND(#REF!,"AAAAAE8ff9M=")</f>
        <v>#REF!</v>
      </c>
      <c r="HE1" t="e">
        <f>AND(#REF!,"AAAAAE8ff9Q=")</f>
        <v>#REF!</v>
      </c>
      <c r="HF1" t="e">
        <f>AND(#REF!,"AAAAAE8ff9U=")</f>
        <v>#REF!</v>
      </c>
      <c r="HG1" t="e">
        <f>AND(#REF!,"AAAAAE8ff9Y=")</f>
        <v>#REF!</v>
      </c>
      <c r="HH1" t="e">
        <f>AND(#REF!,"AAAAAE8ff9c=")</f>
        <v>#REF!</v>
      </c>
      <c r="HI1" t="e">
        <f>AND(#REF!,"AAAAAE8ff9g=")</f>
        <v>#REF!</v>
      </c>
      <c r="HJ1" t="e">
        <f>AND(#REF!,"AAAAAE8ff9k=")</f>
        <v>#REF!</v>
      </c>
      <c r="HK1" t="e">
        <f>AND(#REF!,"AAAAAE8ff9o=")</f>
        <v>#REF!</v>
      </c>
      <c r="HL1" t="e">
        <f>AND(#REF!,"AAAAAE8ff9s=")</f>
        <v>#REF!</v>
      </c>
      <c r="HM1" t="e">
        <f>AND(#REF!,"AAAAAE8ff9w=")</f>
        <v>#REF!</v>
      </c>
      <c r="HN1" t="e">
        <f>AND(#REF!,"AAAAAE8ff90=")</f>
        <v>#REF!</v>
      </c>
      <c r="HO1" t="e">
        <f>AND(#REF!,"AAAAAE8ff94=")</f>
        <v>#REF!</v>
      </c>
      <c r="HP1" t="e">
        <f>AND(#REF!,"AAAAAE8ff98=")</f>
        <v>#REF!</v>
      </c>
      <c r="HQ1" t="e">
        <f>AND(#REF!,"AAAAAE8ff+A=")</f>
        <v>#REF!</v>
      </c>
      <c r="HR1" t="e">
        <f>AND(#REF!,"AAAAAE8ff+E=")</f>
        <v>#REF!</v>
      </c>
      <c r="HS1" t="e">
        <f>AND(#REF!,"AAAAAE8ff+I=")</f>
        <v>#REF!</v>
      </c>
      <c r="HT1" t="e">
        <f>AND(#REF!,"AAAAAE8ff+M=")</f>
        <v>#REF!</v>
      </c>
      <c r="HU1" t="e">
        <f>AND(#REF!,"AAAAAE8ff+Q=")</f>
        <v>#REF!</v>
      </c>
      <c r="HV1" t="e">
        <f>AND(#REF!,"AAAAAE8ff+U=")</f>
        <v>#REF!</v>
      </c>
      <c r="HW1" t="e">
        <f>AND(#REF!,"AAAAAE8ff+Y=")</f>
        <v>#REF!</v>
      </c>
      <c r="HX1" t="e">
        <f>AND(#REF!,"AAAAAE8ff+c=")</f>
        <v>#REF!</v>
      </c>
      <c r="HY1" t="e">
        <f>IF(#REF!,"AAAAAE8ff+g=",0)</f>
        <v>#REF!</v>
      </c>
      <c r="HZ1" t="e">
        <f>AND(#REF!,"AAAAAE8ff+k=")</f>
        <v>#REF!</v>
      </c>
      <c r="IA1" t="e">
        <f>AND(#REF!,"AAAAAE8ff+o=")</f>
        <v>#REF!</v>
      </c>
      <c r="IB1" t="e">
        <f>AND(#REF!,"AAAAAE8ff+s=")</f>
        <v>#REF!</v>
      </c>
      <c r="IC1" t="e">
        <f>AND(#REF!,"AAAAAE8ff+w=")</f>
        <v>#REF!</v>
      </c>
      <c r="ID1" t="e">
        <f>AND(#REF!,"AAAAAE8ff+0=")</f>
        <v>#REF!</v>
      </c>
      <c r="IE1" t="e">
        <f>AND(#REF!,"AAAAAE8ff+4=")</f>
        <v>#REF!</v>
      </c>
      <c r="IF1" t="e">
        <f>AND(#REF!,"AAAAAE8ff+8=")</f>
        <v>#REF!</v>
      </c>
      <c r="IG1" t="e">
        <f>AND(#REF!,"AAAAAE8ff/A=")</f>
        <v>#REF!</v>
      </c>
      <c r="IH1" t="e">
        <f>AND(#REF!,"AAAAAE8ff/E=")</f>
        <v>#REF!</v>
      </c>
      <c r="II1" t="e">
        <f>AND(#REF!,"AAAAAE8ff/I=")</f>
        <v>#REF!</v>
      </c>
      <c r="IJ1" t="e">
        <f>AND(#REF!,"AAAAAE8ff/M=")</f>
        <v>#REF!</v>
      </c>
      <c r="IK1" t="e">
        <f>AND(#REF!,"AAAAAE8ff/Q=")</f>
        <v>#REF!</v>
      </c>
      <c r="IL1" t="e">
        <f>AND(#REF!,"AAAAAE8ff/U=")</f>
        <v>#REF!</v>
      </c>
      <c r="IM1" t="e">
        <f>AND(#REF!,"AAAAAE8ff/Y=")</f>
        <v>#REF!</v>
      </c>
      <c r="IN1" t="e">
        <f>AND(#REF!,"AAAAAE8ff/c=")</f>
        <v>#REF!</v>
      </c>
      <c r="IO1" t="e">
        <f>AND(#REF!,"AAAAAE8ff/g=")</f>
        <v>#REF!</v>
      </c>
      <c r="IP1" t="e">
        <f>AND(#REF!,"AAAAAE8ff/k=")</f>
        <v>#REF!</v>
      </c>
      <c r="IQ1" t="e">
        <f>AND(#REF!,"AAAAAE8ff/o=")</f>
        <v>#REF!</v>
      </c>
      <c r="IR1" t="e">
        <f>AND(#REF!,"AAAAAE8ff/s=")</f>
        <v>#REF!</v>
      </c>
      <c r="IS1" t="e">
        <f>AND(#REF!,"AAAAAE8ff/w=")</f>
        <v>#REF!</v>
      </c>
      <c r="IT1" t="e">
        <f>AND(#REF!,"AAAAAE8ff/0=")</f>
        <v>#REF!</v>
      </c>
      <c r="IU1" t="e">
        <f>AND(#REF!,"AAAAAE8ff/4=")</f>
        <v>#REF!</v>
      </c>
      <c r="IV1" t="e">
        <f>AND(#REF!,"AAAAAE8ff/8=")</f>
        <v>#REF!</v>
      </c>
    </row>
    <row r="2" spans="1:256" ht="12.75">
      <c r="A2" t="e">
        <f>AND(#REF!,"AAAAAG95ZwA=")</f>
        <v>#REF!</v>
      </c>
      <c r="B2" t="e">
        <f>AND(#REF!,"AAAAAG95ZwE=")</f>
        <v>#REF!</v>
      </c>
      <c r="C2" t="e">
        <f>AND(#REF!,"AAAAAG95ZwI=")</f>
        <v>#REF!</v>
      </c>
      <c r="D2" t="e">
        <f>AND(#REF!,"AAAAAG95ZwM=")</f>
        <v>#REF!</v>
      </c>
      <c r="E2" t="e">
        <f>AND(#REF!,"AAAAAG95ZwQ=")</f>
        <v>#REF!</v>
      </c>
      <c r="F2" t="e">
        <f>IF(#REF!,"AAAAAG95ZwU=",0)</f>
        <v>#REF!</v>
      </c>
      <c r="G2" t="e">
        <f>AND(#REF!,"AAAAAG95ZwY=")</f>
        <v>#REF!</v>
      </c>
      <c r="H2" t="e">
        <f>AND(#REF!,"AAAAAG95Zwc=")</f>
        <v>#REF!</v>
      </c>
      <c r="I2" t="e">
        <f>AND(#REF!,"AAAAAG95Zwg=")</f>
        <v>#REF!</v>
      </c>
      <c r="J2" t="e">
        <f>AND(#REF!,"AAAAAG95Zwk=")</f>
        <v>#REF!</v>
      </c>
      <c r="K2" t="e">
        <f>AND(#REF!,"AAAAAG95Zwo=")</f>
        <v>#REF!</v>
      </c>
      <c r="L2" t="e">
        <f>AND(#REF!,"AAAAAG95Zws=")</f>
        <v>#REF!</v>
      </c>
      <c r="M2" t="e">
        <f>AND(#REF!,"AAAAAG95Zww=")</f>
        <v>#REF!</v>
      </c>
      <c r="N2" t="e">
        <f>AND(#REF!,"AAAAAG95Zw0=")</f>
        <v>#REF!</v>
      </c>
      <c r="O2" t="e">
        <f>AND(#REF!,"AAAAAG95Zw4=")</f>
        <v>#REF!</v>
      </c>
      <c r="P2" t="e">
        <f>AND(#REF!,"AAAAAG95Zw8=")</f>
        <v>#REF!</v>
      </c>
      <c r="Q2" t="e">
        <f>AND(#REF!,"AAAAAG95ZxA=")</f>
        <v>#REF!</v>
      </c>
      <c r="R2" t="e">
        <f>AND(#REF!,"AAAAAG95ZxE=")</f>
        <v>#REF!</v>
      </c>
      <c r="S2" t="e">
        <f>AND(#REF!,"AAAAAG95ZxI=")</f>
        <v>#REF!</v>
      </c>
      <c r="T2" t="e">
        <f>AND(#REF!,"AAAAAG95ZxM=")</f>
        <v>#REF!</v>
      </c>
      <c r="U2" t="e">
        <f>AND(#REF!,"AAAAAG95ZxQ=")</f>
        <v>#REF!</v>
      </c>
      <c r="V2" t="e">
        <f>AND(#REF!,"AAAAAG95ZxU=")</f>
        <v>#REF!</v>
      </c>
      <c r="W2" t="e">
        <f>AND(#REF!,"AAAAAG95ZxY=")</f>
        <v>#REF!</v>
      </c>
      <c r="X2" t="e">
        <f>AND(#REF!,"AAAAAG95Zxc=")</f>
        <v>#REF!</v>
      </c>
      <c r="Y2" t="e">
        <f>AND(#REF!,"AAAAAG95Zxg=")</f>
        <v>#REF!</v>
      </c>
      <c r="Z2" t="e">
        <f>AND(#REF!,"AAAAAG95Zxk=")</f>
        <v>#REF!</v>
      </c>
      <c r="AA2" t="e">
        <f>AND(#REF!,"AAAAAG95Zxo=")</f>
        <v>#REF!</v>
      </c>
      <c r="AB2" t="e">
        <f>AND(#REF!,"AAAAAG95Zxs=")</f>
        <v>#REF!</v>
      </c>
      <c r="AC2" t="e">
        <f>AND(#REF!,"AAAAAG95Zxw=")</f>
        <v>#REF!</v>
      </c>
      <c r="AD2" t="e">
        <f>AND(#REF!,"AAAAAG95Zx0=")</f>
        <v>#REF!</v>
      </c>
      <c r="AE2" t="e">
        <f>AND(#REF!,"AAAAAG95Zx4=")</f>
        <v>#REF!</v>
      </c>
      <c r="AF2" t="e">
        <f>AND(#REF!,"AAAAAG95Zx8=")</f>
        <v>#REF!</v>
      </c>
      <c r="AG2" t="e">
        <f>AND(#REF!,"AAAAAG95ZyA=")</f>
        <v>#REF!</v>
      </c>
      <c r="AH2" t="e">
        <f>AND(#REF!,"AAAAAG95ZyE=")</f>
        <v>#REF!</v>
      </c>
      <c r="AI2" t="e">
        <f>IF(#REF!,"AAAAAG95ZyI=",0)</f>
        <v>#REF!</v>
      </c>
      <c r="AJ2" t="e">
        <f>AND(#REF!,"AAAAAG95ZyM=")</f>
        <v>#REF!</v>
      </c>
      <c r="AK2" t="e">
        <f>AND(#REF!,"AAAAAG95ZyQ=")</f>
        <v>#REF!</v>
      </c>
      <c r="AL2" t="e">
        <f>AND(#REF!,"AAAAAG95ZyU=")</f>
        <v>#REF!</v>
      </c>
      <c r="AM2" t="e">
        <f>AND(#REF!,"AAAAAG95ZyY=")</f>
        <v>#REF!</v>
      </c>
      <c r="AN2" t="e">
        <f>AND(#REF!,"AAAAAG95Zyc=")</f>
        <v>#REF!</v>
      </c>
      <c r="AO2" t="e">
        <f>AND(#REF!,"AAAAAG95Zyg=")</f>
        <v>#REF!</v>
      </c>
      <c r="AP2" t="e">
        <f>AND(#REF!,"AAAAAG95Zyk=")</f>
        <v>#REF!</v>
      </c>
      <c r="AQ2" t="e">
        <f>AND(#REF!,"AAAAAG95Zyo=")</f>
        <v>#REF!</v>
      </c>
      <c r="AR2" t="e">
        <f>AND(#REF!,"AAAAAG95Zys=")</f>
        <v>#REF!</v>
      </c>
      <c r="AS2" t="e">
        <f>AND(#REF!,"AAAAAG95Zyw=")</f>
        <v>#REF!</v>
      </c>
      <c r="AT2" t="e">
        <f>AND(#REF!,"AAAAAG95Zy0=")</f>
        <v>#REF!</v>
      </c>
      <c r="AU2" t="e">
        <f>AND(#REF!,"AAAAAG95Zy4=")</f>
        <v>#REF!</v>
      </c>
      <c r="AV2" t="e">
        <f>AND(#REF!,"AAAAAG95Zy8=")</f>
        <v>#REF!</v>
      </c>
      <c r="AW2" t="e">
        <f>AND(#REF!,"AAAAAG95ZzA=")</f>
        <v>#REF!</v>
      </c>
      <c r="AX2" t="e">
        <f>AND(#REF!,"AAAAAG95ZzE=")</f>
        <v>#REF!</v>
      </c>
      <c r="AY2" t="e">
        <f>AND(#REF!,"AAAAAG95ZzI=")</f>
        <v>#REF!</v>
      </c>
      <c r="AZ2" t="e">
        <f>AND(#REF!,"AAAAAG95ZzM=")</f>
        <v>#REF!</v>
      </c>
      <c r="BA2" t="e">
        <f>AND(#REF!,"AAAAAG95ZzQ=")</f>
        <v>#REF!</v>
      </c>
      <c r="BB2" t="e">
        <f>AND(#REF!,"AAAAAG95ZzU=")</f>
        <v>#REF!</v>
      </c>
      <c r="BC2" t="e">
        <f>AND(#REF!,"AAAAAG95ZzY=")</f>
        <v>#REF!</v>
      </c>
      <c r="BD2" t="e">
        <f>AND(#REF!,"AAAAAG95Zzc=")</f>
        <v>#REF!</v>
      </c>
      <c r="BE2" t="e">
        <f>AND(#REF!,"AAAAAG95Zzg=")</f>
        <v>#REF!</v>
      </c>
      <c r="BF2" t="e">
        <f>AND(#REF!,"AAAAAG95Zzk=")</f>
        <v>#REF!</v>
      </c>
      <c r="BG2" t="e">
        <f>AND(#REF!,"AAAAAG95Zzo=")</f>
        <v>#REF!</v>
      </c>
      <c r="BH2" t="e">
        <f>AND(#REF!,"AAAAAG95Zzs=")</f>
        <v>#REF!</v>
      </c>
      <c r="BI2" t="e">
        <f>AND(#REF!,"AAAAAG95Zzw=")</f>
        <v>#REF!</v>
      </c>
      <c r="BJ2" t="e">
        <f>AND(#REF!,"AAAAAG95Zz0=")</f>
        <v>#REF!</v>
      </c>
      <c r="BK2" t="e">
        <f>AND(#REF!,"AAAAAG95Zz4=")</f>
        <v>#REF!</v>
      </c>
      <c r="BL2" t="e">
        <f>IF(#REF!,"AAAAAG95Zz8=",0)</f>
        <v>#REF!</v>
      </c>
      <c r="BM2" t="e">
        <f>AND(#REF!,"AAAAAG95Z0A=")</f>
        <v>#REF!</v>
      </c>
      <c r="BN2" t="e">
        <f>AND(#REF!,"AAAAAG95Z0E=")</f>
        <v>#REF!</v>
      </c>
      <c r="BO2" t="e">
        <f>AND(#REF!,"AAAAAG95Z0I=")</f>
        <v>#REF!</v>
      </c>
      <c r="BP2" t="e">
        <f>AND(#REF!,"AAAAAG95Z0M=")</f>
        <v>#REF!</v>
      </c>
      <c r="BQ2" t="e">
        <f>AND(#REF!,"AAAAAG95Z0Q=")</f>
        <v>#REF!</v>
      </c>
      <c r="BR2" t="e">
        <f>AND(#REF!,"AAAAAG95Z0U=")</f>
        <v>#REF!</v>
      </c>
      <c r="BS2" t="e">
        <f>AND(#REF!,"AAAAAG95Z0Y=")</f>
        <v>#REF!</v>
      </c>
      <c r="BT2" t="e">
        <f>AND(#REF!,"AAAAAG95Z0c=")</f>
        <v>#REF!</v>
      </c>
      <c r="BU2" t="e">
        <f>AND(#REF!,"AAAAAG95Z0g=")</f>
        <v>#REF!</v>
      </c>
      <c r="BV2" t="e">
        <f>AND(#REF!,"AAAAAG95Z0k=")</f>
        <v>#REF!</v>
      </c>
      <c r="BW2" t="e">
        <f>AND(#REF!,"AAAAAG95Z0o=")</f>
        <v>#REF!</v>
      </c>
      <c r="BX2" t="e">
        <f>AND(#REF!,"AAAAAG95Z0s=")</f>
        <v>#REF!</v>
      </c>
      <c r="BY2" t="e">
        <f>AND(#REF!,"AAAAAG95Z0w=")</f>
        <v>#REF!</v>
      </c>
      <c r="BZ2" t="e">
        <f>AND(#REF!,"AAAAAG95Z00=")</f>
        <v>#REF!</v>
      </c>
      <c r="CA2" t="e">
        <f>AND(#REF!,"AAAAAG95Z04=")</f>
        <v>#REF!</v>
      </c>
      <c r="CB2" t="e">
        <f>AND(#REF!,"AAAAAG95Z08=")</f>
        <v>#REF!</v>
      </c>
      <c r="CC2" t="e">
        <f>AND(#REF!,"AAAAAG95Z1A=")</f>
        <v>#REF!</v>
      </c>
      <c r="CD2" t="e">
        <f>AND(#REF!,"AAAAAG95Z1E=")</f>
        <v>#REF!</v>
      </c>
      <c r="CE2" t="e">
        <f>AND(#REF!,"AAAAAG95Z1I=")</f>
        <v>#REF!</v>
      </c>
      <c r="CF2" t="e">
        <f>AND(#REF!,"AAAAAG95Z1M=")</f>
        <v>#REF!</v>
      </c>
      <c r="CG2" t="e">
        <f>AND(#REF!,"AAAAAG95Z1Q=")</f>
        <v>#REF!</v>
      </c>
      <c r="CH2" t="e">
        <f>AND(#REF!,"AAAAAG95Z1U=")</f>
        <v>#REF!</v>
      </c>
      <c r="CI2" t="e">
        <f>AND(#REF!,"AAAAAG95Z1Y=")</f>
        <v>#REF!</v>
      </c>
      <c r="CJ2" t="e">
        <f>AND(#REF!,"AAAAAG95Z1c=")</f>
        <v>#REF!</v>
      </c>
      <c r="CK2" t="e">
        <f>AND(#REF!,"AAAAAG95Z1g=")</f>
        <v>#REF!</v>
      </c>
      <c r="CL2" t="e">
        <f>AND(#REF!,"AAAAAG95Z1k=")</f>
        <v>#REF!</v>
      </c>
      <c r="CM2" t="e">
        <f>AND(#REF!,"AAAAAG95Z1o=")</f>
        <v>#REF!</v>
      </c>
      <c r="CN2" t="e">
        <f>AND(#REF!,"AAAAAG95Z1s=")</f>
        <v>#REF!</v>
      </c>
      <c r="CO2" t="e">
        <f>IF(#REF!,"AAAAAG95Z1w=",0)</f>
        <v>#REF!</v>
      </c>
      <c r="CP2" t="e">
        <f>AND(#REF!,"AAAAAG95Z10=")</f>
        <v>#REF!</v>
      </c>
      <c r="CQ2" t="e">
        <f>AND(#REF!,"AAAAAG95Z14=")</f>
        <v>#REF!</v>
      </c>
      <c r="CR2" t="e">
        <f>AND(#REF!,"AAAAAG95Z18=")</f>
        <v>#REF!</v>
      </c>
      <c r="CS2" t="e">
        <f>AND(#REF!,"AAAAAG95Z2A=")</f>
        <v>#REF!</v>
      </c>
      <c r="CT2" t="e">
        <f>AND(#REF!,"AAAAAG95Z2E=")</f>
        <v>#REF!</v>
      </c>
      <c r="CU2" t="e">
        <f>AND(#REF!,"AAAAAG95Z2I=")</f>
        <v>#REF!</v>
      </c>
      <c r="CV2" t="e">
        <f>AND(#REF!,"AAAAAG95Z2M=")</f>
        <v>#REF!</v>
      </c>
      <c r="CW2" t="e">
        <f>AND(#REF!,"AAAAAG95Z2Q=")</f>
        <v>#REF!</v>
      </c>
      <c r="CX2" t="e">
        <f>AND(#REF!,"AAAAAG95Z2U=")</f>
        <v>#REF!</v>
      </c>
      <c r="CY2" t="e">
        <f>AND(#REF!,"AAAAAG95Z2Y=")</f>
        <v>#REF!</v>
      </c>
      <c r="CZ2" t="e">
        <f>AND(#REF!,"AAAAAG95Z2c=")</f>
        <v>#REF!</v>
      </c>
      <c r="DA2" t="e">
        <f>AND(#REF!,"AAAAAG95Z2g=")</f>
        <v>#REF!</v>
      </c>
      <c r="DB2" t="e">
        <f>AND(#REF!,"AAAAAG95Z2k=")</f>
        <v>#REF!</v>
      </c>
      <c r="DC2" t="e">
        <f>AND(#REF!,"AAAAAG95Z2o=")</f>
        <v>#REF!</v>
      </c>
      <c r="DD2" t="e">
        <f>AND(#REF!,"AAAAAG95Z2s=")</f>
        <v>#REF!</v>
      </c>
      <c r="DE2" t="e">
        <f>AND(#REF!,"AAAAAG95Z2w=")</f>
        <v>#REF!</v>
      </c>
      <c r="DF2" t="e">
        <f>AND(#REF!,"AAAAAG95Z20=")</f>
        <v>#REF!</v>
      </c>
      <c r="DG2" t="e">
        <f>AND(#REF!,"AAAAAG95Z24=")</f>
        <v>#REF!</v>
      </c>
      <c r="DH2" t="e">
        <f>AND(#REF!,"AAAAAG95Z28=")</f>
        <v>#REF!</v>
      </c>
      <c r="DI2" t="e">
        <f>AND(#REF!,"AAAAAG95Z3A=")</f>
        <v>#REF!</v>
      </c>
      <c r="DJ2" t="e">
        <f>AND(#REF!,"AAAAAG95Z3E=")</f>
        <v>#REF!</v>
      </c>
      <c r="DK2" t="e">
        <f>AND(#REF!,"AAAAAG95Z3I=")</f>
        <v>#REF!</v>
      </c>
      <c r="DL2" t="e">
        <f>AND(#REF!,"AAAAAG95Z3M=")</f>
        <v>#REF!</v>
      </c>
      <c r="DM2" t="e">
        <f>AND(#REF!,"AAAAAG95Z3Q=")</f>
        <v>#REF!</v>
      </c>
      <c r="DN2" t="e">
        <f>AND(#REF!,"AAAAAG95Z3U=")</f>
        <v>#REF!</v>
      </c>
      <c r="DO2" t="e">
        <f>AND(#REF!,"AAAAAG95Z3Y=")</f>
        <v>#REF!</v>
      </c>
      <c r="DP2" t="e">
        <f>AND(#REF!,"AAAAAG95Z3c=")</f>
        <v>#REF!</v>
      </c>
      <c r="DQ2" t="e">
        <f>AND(#REF!,"AAAAAG95Z3g=")</f>
        <v>#REF!</v>
      </c>
      <c r="DR2" t="e">
        <f>IF(#REF!,"AAAAAG95Z3k=",0)</f>
        <v>#REF!</v>
      </c>
      <c r="DS2" t="e">
        <f>AND(#REF!,"AAAAAG95Z3o=")</f>
        <v>#REF!</v>
      </c>
      <c r="DT2" t="e">
        <f>AND(#REF!,"AAAAAG95Z3s=")</f>
        <v>#REF!</v>
      </c>
      <c r="DU2" t="e">
        <f>AND(#REF!,"AAAAAG95Z3w=")</f>
        <v>#REF!</v>
      </c>
      <c r="DV2" t="e">
        <f>AND(#REF!,"AAAAAG95Z30=")</f>
        <v>#REF!</v>
      </c>
      <c r="DW2" t="e">
        <f>AND(#REF!,"AAAAAG95Z34=")</f>
        <v>#REF!</v>
      </c>
      <c r="DX2" t="e">
        <f>AND(#REF!,"AAAAAG95Z38=")</f>
        <v>#REF!</v>
      </c>
      <c r="DY2" t="e">
        <f>AND(#REF!,"AAAAAG95Z4A=")</f>
        <v>#REF!</v>
      </c>
      <c r="DZ2" t="e">
        <f>AND(#REF!,"AAAAAG95Z4E=")</f>
        <v>#REF!</v>
      </c>
      <c r="EA2" t="e">
        <f>AND(#REF!,"AAAAAG95Z4I=")</f>
        <v>#REF!</v>
      </c>
      <c r="EB2" t="e">
        <f>AND(#REF!,"AAAAAG95Z4M=")</f>
        <v>#REF!</v>
      </c>
      <c r="EC2" t="e">
        <f>AND(#REF!,"AAAAAG95Z4Q=")</f>
        <v>#REF!</v>
      </c>
      <c r="ED2" t="e">
        <f>AND(#REF!,"AAAAAG95Z4U=")</f>
        <v>#REF!</v>
      </c>
      <c r="EE2" t="e">
        <f>AND(#REF!,"AAAAAG95Z4Y=")</f>
        <v>#REF!</v>
      </c>
      <c r="EF2" t="e">
        <f>AND(#REF!,"AAAAAG95Z4c=")</f>
        <v>#REF!</v>
      </c>
      <c r="EG2" t="e">
        <f>AND(#REF!,"AAAAAG95Z4g=")</f>
        <v>#REF!</v>
      </c>
      <c r="EH2" t="e">
        <f>AND(#REF!,"AAAAAG95Z4k=")</f>
        <v>#REF!</v>
      </c>
      <c r="EI2" t="e">
        <f>AND(#REF!,"AAAAAG95Z4o=")</f>
        <v>#REF!</v>
      </c>
      <c r="EJ2" t="e">
        <f>AND(#REF!,"AAAAAG95Z4s=")</f>
        <v>#REF!</v>
      </c>
      <c r="EK2" t="e">
        <f>AND(#REF!,"AAAAAG95Z4w=")</f>
        <v>#REF!</v>
      </c>
      <c r="EL2" t="e">
        <f>AND(#REF!,"AAAAAG95Z40=")</f>
        <v>#REF!</v>
      </c>
      <c r="EM2" t="e">
        <f>AND(#REF!,"AAAAAG95Z44=")</f>
        <v>#REF!</v>
      </c>
      <c r="EN2" t="e">
        <f>AND(#REF!,"AAAAAG95Z48=")</f>
        <v>#REF!</v>
      </c>
      <c r="EO2" t="e">
        <f>AND(#REF!,"AAAAAG95Z5A=")</f>
        <v>#REF!</v>
      </c>
      <c r="EP2" t="e">
        <f>AND(#REF!,"AAAAAG95Z5E=")</f>
        <v>#REF!</v>
      </c>
      <c r="EQ2" t="e">
        <f>AND(#REF!,"AAAAAG95Z5I=")</f>
        <v>#REF!</v>
      </c>
      <c r="ER2" t="e">
        <f>AND(#REF!,"AAAAAG95Z5M=")</f>
        <v>#REF!</v>
      </c>
      <c r="ES2" t="e">
        <f>AND(#REF!,"AAAAAG95Z5Q=")</f>
        <v>#REF!</v>
      </c>
      <c r="ET2" t="e">
        <f>AND(#REF!,"AAAAAG95Z5U=")</f>
        <v>#REF!</v>
      </c>
      <c r="EU2" t="e">
        <f>IF(#REF!,"AAAAAG95Z5Y=",0)</f>
        <v>#REF!</v>
      </c>
      <c r="EV2" t="e">
        <f>AND(#REF!,"AAAAAG95Z5c=")</f>
        <v>#REF!</v>
      </c>
      <c r="EW2" t="e">
        <f>AND(#REF!,"AAAAAG95Z5g=")</f>
        <v>#REF!</v>
      </c>
      <c r="EX2" t="e">
        <f>AND(#REF!,"AAAAAG95Z5k=")</f>
        <v>#REF!</v>
      </c>
      <c r="EY2" t="e">
        <f>AND(#REF!,"AAAAAG95Z5o=")</f>
        <v>#REF!</v>
      </c>
      <c r="EZ2" t="e">
        <f>AND(#REF!,"AAAAAG95Z5s=")</f>
        <v>#REF!</v>
      </c>
      <c r="FA2" t="e">
        <f>AND(#REF!,"AAAAAG95Z5w=")</f>
        <v>#REF!</v>
      </c>
      <c r="FB2" t="e">
        <f>AND(#REF!,"AAAAAG95Z50=")</f>
        <v>#REF!</v>
      </c>
      <c r="FC2" t="e">
        <f>AND(#REF!,"AAAAAG95Z54=")</f>
        <v>#REF!</v>
      </c>
      <c r="FD2" t="e">
        <f>AND(#REF!,"AAAAAG95Z58=")</f>
        <v>#REF!</v>
      </c>
      <c r="FE2" t="e">
        <f>AND(#REF!,"AAAAAG95Z6A=")</f>
        <v>#REF!</v>
      </c>
      <c r="FF2" t="e">
        <f>AND(#REF!,"AAAAAG95Z6E=")</f>
        <v>#REF!</v>
      </c>
      <c r="FG2" t="e">
        <f>AND(#REF!,"AAAAAG95Z6I=")</f>
        <v>#REF!</v>
      </c>
      <c r="FH2" t="e">
        <f>AND(#REF!,"AAAAAG95Z6M=")</f>
        <v>#REF!</v>
      </c>
      <c r="FI2" t="e">
        <f>AND(#REF!,"AAAAAG95Z6Q=")</f>
        <v>#REF!</v>
      </c>
      <c r="FJ2" t="e">
        <f>AND(#REF!,"AAAAAG95Z6U=")</f>
        <v>#REF!</v>
      </c>
      <c r="FK2" t="e">
        <f>AND(#REF!,"AAAAAG95Z6Y=")</f>
        <v>#REF!</v>
      </c>
      <c r="FL2" t="e">
        <f>AND(#REF!,"AAAAAG95Z6c=")</f>
        <v>#REF!</v>
      </c>
      <c r="FM2" t="e">
        <f>AND(#REF!,"AAAAAG95Z6g=")</f>
        <v>#REF!</v>
      </c>
      <c r="FN2" t="e">
        <f>AND(#REF!,"AAAAAG95Z6k=")</f>
        <v>#REF!</v>
      </c>
      <c r="FO2" t="e">
        <f>AND(#REF!,"AAAAAG95Z6o=")</f>
        <v>#REF!</v>
      </c>
      <c r="FP2" t="e">
        <f>AND(#REF!,"AAAAAG95Z6s=")</f>
        <v>#REF!</v>
      </c>
      <c r="FQ2" t="e">
        <f>AND(#REF!,"AAAAAG95Z6w=")</f>
        <v>#REF!</v>
      </c>
      <c r="FR2" t="e">
        <f>AND(#REF!,"AAAAAG95Z60=")</f>
        <v>#REF!</v>
      </c>
      <c r="FS2" t="e">
        <f>AND(#REF!,"AAAAAG95Z64=")</f>
        <v>#REF!</v>
      </c>
      <c r="FT2" t="e">
        <f>AND(#REF!,"AAAAAG95Z68=")</f>
        <v>#REF!</v>
      </c>
      <c r="FU2" t="e">
        <f>AND(#REF!,"AAAAAG95Z7A=")</f>
        <v>#REF!</v>
      </c>
      <c r="FV2" t="e">
        <f>AND(#REF!,"AAAAAG95Z7E=")</f>
        <v>#REF!</v>
      </c>
      <c r="FW2" t="e">
        <f>AND(#REF!,"AAAAAG95Z7I=")</f>
        <v>#REF!</v>
      </c>
      <c r="FX2" t="e">
        <f>IF(#REF!,"AAAAAG95Z7M=",0)</f>
        <v>#REF!</v>
      </c>
      <c r="FY2" t="e">
        <f>AND(#REF!,"AAAAAG95Z7Q=")</f>
        <v>#REF!</v>
      </c>
      <c r="FZ2" t="e">
        <f>AND(#REF!,"AAAAAG95Z7U=")</f>
        <v>#REF!</v>
      </c>
      <c r="GA2" t="e">
        <f>AND(#REF!,"AAAAAG95Z7Y=")</f>
        <v>#REF!</v>
      </c>
      <c r="GB2" t="e">
        <f>AND(#REF!,"AAAAAG95Z7c=")</f>
        <v>#REF!</v>
      </c>
      <c r="GC2" t="e">
        <f>AND(#REF!,"AAAAAG95Z7g=")</f>
        <v>#REF!</v>
      </c>
      <c r="GD2" t="e">
        <f>AND(#REF!,"AAAAAG95Z7k=")</f>
        <v>#REF!</v>
      </c>
      <c r="GE2" t="e">
        <f>AND(#REF!,"AAAAAG95Z7o=")</f>
        <v>#REF!</v>
      </c>
      <c r="GF2" t="e">
        <f>AND(#REF!,"AAAAAG95Z7s=")</f>
        <v>#REF!</v>
      </c>
      <c r="GG2" t="e">
        <f>AND(#REF!,"AAAAAG95Z7w=")</f>
        <v>#REF!</v>
      </c>
      <c r="GH2" t="e">
        <f>AND(#REF!,"AAAAAG95Z70=")</f>
        <v>#REF!</v>
      </c>
      <c r="GI2" t="e">
        <f>AND(#REF!,"AAAAAG95Z74=")</f>
        <v>#REF!</v>
      </c>
      <c r="GJ2" t="e">
        <f>AND(#REF!,"AAAAAG95Z78=")</f>
        <v>#REF!</v>
      </c>
      <c r="GK2" t="e">
        <f>AND(#REF!,"AAAAAG95Z8A=")</f>
        <v>#REF!</v>
      </c>
      <c r="GL2" t="e">
        <f>AND(#REF!,"AAAAAG95Z8E=")</f>
        <v>#REF!</v>
      </c>
      <c r="GM2" t="e">
        <f>AND(#REF!,"AAAAAG95Z8I=")</f>
        <v>#REF!</v>
      </c>
      <c r="GN2" t="e">
        <f>AND(#REF!,"AAAAAG95Z8M=")</f>
        <v>#REF!</v>
      </c>
      <c r="GO2" t="e">
        <f>AND(#REF!,"AAAAAG95Z8Q=")</f>
        <v>#REF!</v>
      </c>
      <c r="GP2" t="e">
        <f>AND(#REF!,"AAAAAG95Z8U=")</f>
        <v>#REF!</v>
      </c>
      <c r="GQ2" t="e">
        <f>AND(#REF!,"AAAAAG95Z8Y=")</f>
        <v>#REF!</v>
      </c>
      <c r="GR2" t="e">
        <f>AND(#REF!,"AAAAAG95Z8c=")</f>
        <v>#REF!</v>
      </c>
      <c r="GS2" t="e">
        <f>AND(#REF!,"AAAAAG95Z8g=")</f>
        <v>#REF!</v>
      </c>
      <c r="GT2" t="e">
        <f>AND(#REF!,"AAAAAG95Z8k=")</f>
        <v>#REF!</v>
      </c>
      <c r="GU2" t="e">
        <f>AND(#REF!,"AAAAAG95Z8o=")</f>
        <v>#REF!</v>
      </c>
      <c r="GV2" t="e">
        <f>AND(#REF!,"AAAAAG95Z8s=")</f>
        <v>#REF!</v>
      </c>
      <c r="GW2" t="e">
        <f>AND(#REF!,"AAAAAG95Z8w=")</f>
        <v>#REF!</v>
      </c>
      <c r="GX2" t="e">
        <f>AND(#REF!,"AAAAAG95Z80=")</f>
        <v>#REF!</v>
      </c>
      <c r="GY2" t="e">
        <f>AND(#REF!,"AAAAAG95Z84=")</f>
        <v>#REF!</v>
      </c>
      <c r="GZ2" t="e">
        <f>AND(#REF!,"AAAAAG95Z88=")</f>
        <v>#REF!</v>
      </c>
      <c r="HA2" t="e">
        <f>IF(#REF!,"AAAAAG95Z9A=",0)</f>
        <v>#REF!</v>
      </c>
      <c r="HB2" t="e">
        <f>AND(#REF!,"AAAAAG95Z9E=")</f>
        <v>#REF!</v>
      </c>
      <c r="HC2" t="e">
        <f>AND(#REF!,"AAAAAG95Z9I=")</f>
        <v>#REF!</v>
      </c>
      <c r="HD2" t="e">
        <f>AND(#REF!,"AAAAAG95Z9M=")</f>
        <v>#REF!</v>
      </c>
      <c r="HE2" t="e">
        <f>AND(#REF!,"AAAAAG95Z9Q=")</f>
        <v>#REF!</v>
      </c>
      <c r="HF2" t="e">
        <f>AND(#REF!,"AAAAAG95Z9U=")</f>
        <v>#REF!</v>
      </c>
      <c r="HG2" t="e">
        <f>AND(#REF!,"AAAAAG95Z9Y=")</f>
        <v>#REF!</v>
      </c>
      <c r="HH2" t="e">
        <f>AND(#REF!,"AAAAAG95Z9c=")</f>
        <v>#REF!</v>
      </c>
      <c r="HI2" t="e">
        <f>AND(#REF!,"AAAAAG95Z9g=")</f>
        <v>#REF!</v>
      </c>
      <c r="HJ2" t="e">
        <f>AND(#REF!,"AAAAAG95Z9k=")</f>
        <v>#REF!</v>
      </c>
      <c r="HK2" t="e">
        <f>AND(#REF!,"AAAAAG95Z9o=")</f>
        <v>#REF!</v>
      </c>
      <c r="HL2" t="e">
        <f>AND(#REF!,"AAAAAG95Z9s=")</f>
        <v>#REF!</v>
      </c>
      <c r="HM2" t="e">
        <f>AND(#REF!,"AAAAAG95Z9w=")</f>
        <v>#REF!</v>
      </c>
      <c r="HN2" t="e">
        <f>AND(#REF!,"AAAAAG95Z90=")</f>
        <v>#REF!</v>
      </c>
      <c r="HO2" t="e">
        <f>AND(#REF!,"AAAAAG95Z94=")</f>
        <v>#REF!</v>
      </c>
      <c r="HP2" t="e">
        <f>AND(#REF!,"AAAAAG95Z98=")</f>
        <v>#REF!</v>
      </c>
      <c r="HQ2" t="e">
        <f>AND(#REF!,"AAAAAG95Z+A=")</f>
        <v>#REF!</v>
      </c>
      <c r="HR2" t="e">
        <f>AND(#REF!,"AAAAAG95Z+E=")</f>
        <v>#REF!</v>
      </c>
      <c r="HS2" t="e">
        <f>AND(#REF!,"AAAAAG95Z+I=")</f>
        <v>#REF!</v>
      </c>
      <c r="HT2" t="e">
        <f>AND(#REF!,"AAAAAG95Z+M=")</f>
        <v>#REF!</v>
      </c>
      <c r="HU2" t="e">
        <f>AND(#REF!,"AAAAAG95Z+Q=")</f>
        <v>#REF!</v>
      </c>
      <c r="HV2" t="e">
        <f>AND(#REF!,"AAAAAG95Z+U=")</f>
        <v>#REF!</v>
      </c>
      <c r="HW2" t="e">
        <f>AND(#REF!,"AAAAAG95Z+Y=")</f>
        <v>#REF!</v>
      </c>
      <c r="HX2" t="e">
        <f>AND(#REF!,"AAAAAG95Z+c=")</f>
        <v>#REF!</v>
      </c>
      <c r="HY2" t="e">
        <f>AND(#REF!,"AAAAAG95Z+g=")</f>
        <v>#REF!</v>
      </c>
      <c r="HZ2" t="e">
        <f>AND(#REF!,"AAAAAG95Z+k=")</f>
        <v>#REF!</v>
      </c>
      <c r="IA2" t="e">
        <f>AND(#REF!,"AAAAAG95Z+o=")</f>
        <v>#REF!</v>
      </c>
      <c r="IB2" t="e">
        <f>AND(#REF!,"AAAAAG95Z+s=")</f>
        <v>#REF!</v>
      </c>
      <c r="IC2" t="e">
        <f>AND(#REF!,"AAAAAG95Z+w=")</f>
        <v>#REF!</v>
      </c>
      <c r="ID2" t="e">
        <f>IF(#REF!,"AAAAAG95Z+0=",0)</f>
        <v>#REF!</v>
      </c>
      <c r="IE2" t="e">
        <f>AND(#REF!,"AAAAAG95Z+4=")</f>
        <v>#REF!</v>
      </c>
      <c r="IF2" t="e">
        <f>AND(#REF!,"AAAAAG95Z+8=")</f>
        <v>#REF!</v>
      </c>
      <c r="IG2" t="e">
        <f>AND(#REF!,"AAAAAG95Z/A=")</f>
        <v>#REF!</v>
      </c>
      <c r="IH2" t="e">
        <f>AND(#REF!,"AAAAAG95Z/E=")</f>
        <v>#REF!</v>
      </c>
      <c r="II2" t="e">
        <f>AND(#REF!,"AAAAAG95Z/I=")</f>
        <v>#REF!</v>
      </c>
      <c r="IJ2" t="e">
        <f>AND(#REF!,"AAAAAG95Z/M=")</f>
        <v>#REF!</v>
      </c>
      <c r="IK2" t="e">
        <f>AND(#REF!,"AAAAAG95Z/Q=")</f>
        <v>#REF!</v>
      </c>
      <c r="IL2" t="e">
        <f>AND(#REF!,"AAAAAG95Z/U=")</f>
        <v>#REF!</v>
      </c>
      <c r="IM2" t="e">
        <f>AND(#REF!,"AAAAAG95Z/Y=")</f>
        <v>#REF!</v>
      </c>
      <c r="IN2" t="e">
        <f>AND(#REF!,"AAAAAG95Z/c=")</f>
        <v>#REF!</v>
      </c>
      <c r="IO2" t="e">
        <f>AND(#REF!,"AAAAAG95Z/g=")</f>
        <v>#REF!</v>
      </c>
      <c r="IP2" t="e">
        <f>AND(#REF!,"AAAAAG95Z/k=")</f>
        <v>#REF!</v>
      </c>
      <c r="IQ2" t="e">
        <f>AND(#REF!,"AAAAAG95Z/o=")</f>
        <v>#REF!</v>
      </c>
      <c r="IR2" t="e">
        <f>AND(#REF!,"AAAAAG95Z/s=")</f>
        <v>#REF!</v>
      </c>
      <c r="IS2" t="e">
        <f>AND(#REF!,"AAAAAG95Z/w=")</f>
        <v>#REF!</v>
      </c>
      <c r="IT2" t="e">
        <f>AND(#REF!,"AAAAAG95Z/0=")</f>
        <v>#REF!</v>
      </c>
      <c r="IU2" t="e">
        <f>AND(#REF!,"AAAAAG95Z/4=")</f>
        <v>#REF!</v>
      </c>
      <c r="IV2" t="e">
        <f>AND(#REF!,"AAAAAG95Z/8=")</f>
        <v>#REF!</v>
      </c>
    </row>
    <row r="3" spans="1:256" ht="12.75">
      <c r="A3" t="e">
        <f>AND(#REF!,"AAAAADP8vwA=")</f>
        <v>#REF!</v>
      </c>
      <c r="B3" t="e">
        <f>AND(#REF!,"AAAAADP8vwE=")</f>
        <v>#REF!</v>
      </c>
      <c r="C3" t="e">
        <f>AND(#REF!,"AAAAADP8vwI=")</f>
        <v>#REF!</v>
      </c>
      <c r="D3" t="e">
        <f>AND(#REF!,"AAAAADP8vwM=")</f>
        <v>#REF!</v>
      </c>
      <c r="E3" t="e">
        <f>AND(#REF!,"AAAAADP8vwQ=")</f>
        <v>#REF!</v>
      </c>
      <c r="F3" t="e">
        <f>AND(#REF!,"AAAAADP8vwU=")</f>
        <v>#REF!</v>
      </c>
      <c r="G3" t="e">
        <f>AND(#REF!,"AAAAADP8vwY=")</f>
        <v>#REF!</v>
      </c>
      <c r="H3" t="e">
        <f>AND(#REF!,"AAAAADP8vwc=")</f>
        <v>#REF!</v>
      </c>
      <c r="I3" t="e">
        <f>AND(#REF!,"AAAAADP8vwg=")</f>
        <v>#REF!</v>
      </c>
      <c r="J3" t="e">
        <f>AND(#REF!,"AAAAADP8vwk=")</f>
        <v>#REF!</v>
      </c>
      <c r="K3" t="e">
        <f>IF(#REF!,"AAAAADP8vwo=",0)</f>
        <v>#REF!</v>
      </c>
      <c r="L3" t="e">
        <f>AND(#REF!,"AAAAADP8vws=")</f>
        <v>#REF!</v>
      </c>
      <c r="M3" t="e">
        <f>AND(#REF!,"AAAAADP8vww=")</f>
        <v>#REF!</v>
      </c>
      <c r="N3" t="e">
        <f>AND(#REF!,"AAAAADP8vw0=")</f>
        <v>#REF!</v>
      </c>
      <c r="O3" t="e">
        <f>AND(#REF!,"AAAAADP8vw4=")</f>
        <v>#REF!</v>
      </c>
      <c r="P3" t="e">
        <f>AND(#REF!,"AAAAADP8vw8=")</f>
        <v>#REF!</v>
      </c>
      <c r="Q3" t="e">
        <f>AND(#REF!,"AAAAADP8vxA=")</f>
        <v>#REF!</v>
      </c>
      <c r="R3" t="e">
        <f>AND(#REF!,"AAAAADP8vxE=")</f>
        <v>#REF!</v>
      </c>
      <c r="S3" t="e">
        <f>AND(#REF!,"AAAAADP8vxI=")</f>
        <v>#REF!</v>
      </c>
      <c r="T3" t="e">
        <f>AND(#REF!,"AAAAADP8vxM=")</f>
        <v>#REF!</v>
      </c>
      <c r="U3" t="e">
        <f>AND(#REF!,"AAAAADP8vxQ=")</f>
        <v>#REF!</v>
      </c>
      <c r="V3" t="e">
        <f>AND(#REF!,"AAAAADP8vxU=")</f>
        <v>#REF!</v>
      </c>
      <c r="W3" t="e">
        <f>AND(#REF!,"AAAAADP8vxY=")</f>
        <v>#REF!</v>
      </c>
      <c r="X3" t="e">
        <f>AND(#REF!,"AAAAADP8vxc=")</f>
        <v>#REF!</v>
      </c>
      <c r="Y3" t="e">
        <f>AND(#REF!,"AAAAADP8vxg=")</f>
        <v>#REF!</v>
      </c>
      <c r="Z3" t="e">
        <f>AND(#REF!,"AAAAADP8vxk=")</f>
        <v>#REF!</v>
      </c>
      <c r="AA3" t="e">
        <f>AND(#REF!,"AAAAADP8vxo=")</f>
        <v>#REF!</v>
      </c>
      <c r="AB3" t="e">
        <f>AND(#REF!,"AAAAADP8vxs=")</f>
        <v>#REF!</v>
      </c>
      <c r="AC3" t="e">
        <f>AND(#REF!,"AAAAADP8vxw=")</f>
        <v>#REF!</v>
      </c>
      <c r="AD3" t="e">
        <f>AND(#REF!,"AAAAADP8vx0=")</f>
        <v>#REF!</v>
      </c>
      <c r="AE3" t="e">
        <f>AND(#REF!,"AAAAADP8vx4=")</f>
        <v>#REF!</v>
      </c>
      <c r="AF3" t="e">
        <f>AND(#REF!,"AAAAADP8vx8=")</f>
        <v>#REF!</v>
      </c>
      <c r="AG3" t="e">
        <f>AND(#REF!,"AAAAADP8vyA=")</f>
        <v>#REF!</v>
      </c>
      <c r="AH3" t="e">
        <f>AND(#REF!,"AAAAADP8vyE=")</f>
        <v>#REF!</v>
      </c>
      <c r="AI3" t="e">
        <f>AND(#REF!,"AAAAADP8vyI=")</f>
        <v>#REF!</v>
      </c>
      <c r="AJ3" t="e">
        <f>AND(#REF!,"AAAAADP8vyM=")</f>
        <v>#REF!</v>
      </c>
      <c r="AK3" t="e">
        <f>AND(#REF!,"AAAAADP8vyQ=")</f>
        <v>#REF!</v>
      </c>
      <c r="AL3" t="e">
        <f>AND(#REF!,"AAAAADP8vyU=")</f>
        <v>#REF!</v>
      </c>
      <c r="AM3" t="e">
        <f>AND(#REF!,"AAAAADP8vyY=")</f>
        <v>#REF!</v>
      </c>
      <c r="AN3" t="e">
        <f>IF(#REF!,"AAAAADP8vyc=",0)</f>
        <v>#REF!</v>
      </c>
      <c r="AO3" t="e">
        <f>AND(#REF!,"AAAAADP8vyg=")</f>
        <v>#REF!</v>
      </c>
      <c r="AP3" t="e">
        <f>AND(#REF!,"AAAAADP8vyk=")</f>
        <v>#REF!</v>
      </c>
      <c r="AQ3" t="e">
        <f>AND(#REF!,"AAAAADP8vyo=")</f>
        <v>#REF!</v>
      </c>
      <c r="AR3" t="e">
        <f>AND(#REF!,"AAAAADP8vys=")</f>
        <v>#REF!</v>
      </c>
      <c r="AS3" t="e">
        <f>AND(#REF!,"AAAAADP8vyw=")</f>
        <v>#REF!</v>
      </c>
      <c r="AT3" t="e">
        <f>AND(#REF!,"AAAAADP8vy0=")</f>
        <v>#REF!</v>
      </c>
      <c r="AU3" t="e">
        <f>AND(#REF!,"AAAAADP8vy4=")</f>
        <v>#REF!</v>
      </c>
      <c r="AV3" t="e">
        <f>AND(#REF!,"AAAAADP8vy8=")</f>
        <v>#REF!</v>
      </c>
      <c r="AW3" t="e">
        <f>AND(#REF!,"AAAAADP8vzA=")</f>
        <v>#REF!</v>
      </c>
      <c r="AX3" t="e">
        <f>AND(#REF!,"AAAAADP8vzE=")</f>
        <v>#REF!</v>
      </c>
      <c r="AY3" t="e">
        <f>AND(#REF!,"AAAAADP8vzI=")</f>
        <v>#REF!</v>
      </c>
      <c r="AZ3" t="e">
        <f>AND(#REF!,"AAAAADP8vzM=")</f>
        <v>#REF!</v>
      </c>
      <c r="BA3" t="e">
        <f>AND(#REF!,"AAAAADP8vzQ=")</f>
        <v>#REF!</v>
      </c>
      <c r="BB3" t="e">
        <f>AND(#REF!,"AAAAADP8vzU=")</f>
        <v>#REF!</v>
      </c>
      <c r="BC3" t="e">
        <f>AND(#REF!,"AAAAADP8vzY=")</f>
        <v>#REF!</v>
      </c>
      <c r="BD3" t="e">
        <f>AND(#REF!,"AAAAADP8vzc=")</f>
        <v>#REF!</v>
      </c>
      <c r="BE3" t="e">
        <f>AND(#REF!,"AAAAADP8vzg=")</f>
        <v>#REF!</v>
      </c>
      <c r="BF3" t="e">
        <f>AND(#REF!,"AAAAADP8vzk=")</f>
        <v>#REF!</v>
      </c>
      <c r="BG3" t="e">
        <f>AND(#REF!,"AAAAADP8vzo=")</f>
        <v>#REF!</v>
      </c>
      <c r="BH3" t="e">
        <f>AND(#REF!,"AAAAADP8vzs=")</f>
        <v>#REF!</v>
      </c>
      <c r="BI3" t="e">
        <f>AND(#REF!,"AAAAADP8vzw=")</f>
        <v>#REF!</v>
      </c>
      <c r="BJ3" t="e">
        <f>AND(#REF!,"AAAAADP8vz0=")</f>
        <v>#REF!</v>
      </c>
      <c r="BK3" t="e">
        <f>AND(#REF!,"AAAAADP8vz4=")</f>
        <v>#REF!</v>
      </c>
      <c r="BL3" t="e">
        <f>AND(#REF!,"AAAAADP8vz8=")</f>
        <v>#REF!</v>
      </c>
      <c r="BM3" t="e">
        <f>AND(#REF!,"AAAAADP8v0A=")</f>
        <v>#REF!</v>
      </c>
      <c r="BN3" t="e">
        <f>AND(#REF!,"AAAAADP8v0E=")</f>
        <v>#REF!</v>
      </c>
      <c r="BO3" t="e">
        <f>AND(#REF!,"AAAAADP8v0I=")</f>
        <v>#REF!</v>
      </c>
      <c r="BP3" t="e">
        <f>AND(#REF!,"AAAAADP8v0M=")</f>
        <v>#REF!</v>
      </c>
      <c r="BQ3" t="e">
        <f>IF(#REF!,"AAAAADP8v0Q=",0)</f>
        <v>#REF!</v>
      </c>
      <c r="BR3" t="e">
        <f>AND(#REF!,"AAAAADP8v0U=")</f>
        <v>#REF!</v>
      </c>
      <c r="BS3" t="e">
        <f>AND(#REF!,"AAAAADP8v0Y=")</f>
        <v>#REF!</v>
      </c>
      <c r="BT3" t="e">
        <f>AND(#REF!,"AAAAADP8v0c=")</f>
        <v>#REF!</v>
      </c>
      <c r="BU3" t="e">
        <f>AND(#REF!,"AAAAADP8v0g=")</f>
        <v>#REF!</v>
      </c>
      <c r="BV3" t="e">
        <f>AND(#REF!,"AAAAADP8v0k=")</f>
        <v>#REF!</v>
      </c>
      <c r="BW3" t="e">
        <f>AND(#REF!,"AAAAADP8v0o=")</f>
        <v>#REF!</v>
      </c>
      <c r="BX3" t="e">
        <f>AND(#REF!,"AAAAADP8v0s=")</f>
        <v>#REF!</v>
      </c>
      <c r="BY3" t="e">
        <f>AND(#REF!,"AAAAADP8v0w=")</f>
        <v>#REF!</v>
      </c>
      <c r="BZ3" t="e">
        <f>AND(#REF!,"AAAAADP8v00=")</f>
        <v>#REF!</v>
      </c>
      <c r="CA3" t="e">
        <f>AND(#REF!,"AAAAADP8v04=")</f>
        <v>#REF!</v>
      </c>
      <c r="CB3" t="e">
        <f>AND(#REF!,"AAAAADP8v08=")</f>
        <v>#REF!</v>
      </c>
      <c r="CC3" t="e">
        <f>AND(#REF!,"AAAAADP8v1A=")</f>
        <v>#REF!</v>
      </c>
      <c r="CD3" t="e">
        <f>AND(#REF!,"AAAAADP8v1E=")</f>
        <v>#REF!</v>
      </c>
      <c r="CE3" t="e">
        <f>AND(#REF!,"AAAAADP8v1I=")</f>
        <v>#REF!</v>
      </c>
      <c r="CF3" t="e">
        <f>AND(#REF!,"AAAAADP8v1M=")</f>
        <v>#REF!</v>
      </c>
      <c r="CG3" t="e">
        <f>AND(#REF!,"AAAAADP8v1Q=")</f>
        <v>#REF!</v>
      </c>
      <c r="CH3" t="e">
        <f>AND(#REF!,"AAAAADP8v1U=")</f>
        <v>#REF!</v>
      </c>
      <c r="CI3" t="e">
        <f>AND(#REF!,"AAAAADP8v1Y=")</f>
        <v>#REF!</v>
      </c>
      <c r="CJ3" t="e">
        <f>AND(#REF!,"AAAAADP8v1c=")</f>
        <v>#REF!</v>
      </c>
      <c r="CK3" t="e">
        <f>AND(#REF!,"AAAAADP8v1g=")</f>
        <v>#REF!</v>
      </c>
      <c r="CL3" t="e">
        <f>AND(#REF!,"AAAAADP8v1k=")</f>
        <v>#REF!</v>
      </c>
      <c r="CM3" t="e">
        <f>AND(#REF!,"AAAAADP8v1o=")</f>
        <v>#REF!</v>
      </c>
      <c r="CN3" t="e">
        <f>AND(#REF!,"AAAAADP8v1s=")</f>
        <v>#REF!</v>
      </c>
      <c r="CO3" t="e">
        <f>AND(#REF!,"AAAAADP8v1w=")</f>
        <v>#REF!</v>
      </c>
      <c r="CP3" t="e">
        <f>AND(#REF!,"AAAAADP8v10=")</f>
        <v>#REF!</v>
      </c>
      <c r="CQ3" t="e">
        <f>AND(#REF!,"AAAAADP8v14=")</f>
        <v>#REF!</v>
      </c>
      <c r="CR3" t="e">
        <f>AND(#REF!,"AAAAADP8v18=")</f>
        <v>#REF!</v>
      </c>
      <c r="CS3" t="e">
        <f>AND(#REF!,"AAAAADP8v2A=")</f>
        <v>#REF!</v>
      </c>
      <c r="CT3" t="e">
        <f>IF(#REF!,"AAAAADP8v2E=",0)</f>
        <v>#REF!</v>
      </c>
      <c r="CU3" t="e">
        <f>AND(#REF!,"AAAAADP8v2I=")</f>
        <v>#REF!</v>
      </c>
      <c r="CV3" t="e">
        <f>AND(#REF!,"AAAAADP8v2M=")</f>
        <v>#REF!</v>
      </c>
      <c r="CW3" t="e">
        <f>AND(#REF!,"AAAAADP8v2Q=")</f>
        <v>#REF!</v>
      </c>
      <c r="CX3" t="e">
        <f>AND(#REF!,"AAAAADP8v2U=")</f>
        <v>#REF!</v>
      </c>
      <c r="CY3" t="e">
        <f>AND(#REF!,"AAAAADP8v2Y=")</f>
        <v>#REF!</v>
      </c>
      <c r="CZ3" t="e">
        <f>AND(#REF!,"AAAAADP8v2c=")</f>
        <v>#REF!</v>
      </c>
      <c r="DA3" t="e">
        <f>AND(#REF!,"AAAAADP8v2g=")</f>
        <v>#REF!</v>
      </c>
      <c r="DB3" t="e">
        <f>AND(#REF!,"AAAAADP8v2k=")</f>
        <v>#REF!</v>
      </c>
      <c r="DC3" t="e">
        <f>AND(#REF!,"AAAAADP8v2o=")</f>
        <v>#REF!</v>
      </c>
      <c r="DD3" t="e">
        <f>AND(#REF!,"AAAAADP8v2s=")</f>
        <v>#REF!</v>
      </c>
      <c r="DE3" t="e">
        <f>AND(#REF!,"AAAAADP8v2w=")</f>
        <v>#REF!</v>
      </c>
      <c r="DF3" t="e">
        <f>AND(#REF!,"AAAAADP8v20=")</f>
        <v>#REF!</v>
      </c>
      <c r="DG3" t="e">
        <f>AND(#REF!,"AAAAADP8v24=")</f>
        <v>#REF!</v>
      </c>
      <c r="DH3" t="e">
        <f>AND(#REF!,"AAAAADP8v28=")</f>
        <v>#REF!</v>
      </c>
      <c r="DI3" t="e">
        <f>AND(#REF!,"AAAAADP8v3A=")</f>
        <v>#REF!</v>
      </c>
      <c r="DJ3" t="e">
        <f>AND(#REF!,"AAAAADP8v3E=")</f>
        <v>#REF!</v>
      </c>
      <c r="DK3" t="e">
        <f>AND(#REF!,"AAAAADP8v3I=")</f>
        <v>#REF!</v>
      </c>
      <c r="DL3" t="e">
        <f>AND(#REF!,"AAAAADP8v3M=")</f>
        <v>#REF!</v>
      </c>
      <c r="DM3" t="e">
        <f>AND(#REF!,"AAAAADP8v3Q=")</f>
        <v>#REF!</v>
      </c>
      <c r="DN3" t="e">
        <f>AND(#REF!,"AAAAADP8v3U=")</f>
        <v>#REF!</v>
      </c>
      <c r="DO3" t="e">
        <f>AND(#REF!,"AAAAADP8v3Y=")</f>
        <v>#REF!</v>
      </c>
      <c r="DP3" t="e">
        <f>AND(#REF!,"AAAAADP8v3c=")</f>
        <v>#REF!</v>
      </c>
      <c r="DQ3" t="e">
        <f>AND(#REF!,"AAAAADP8v3g=")</f>
        <v>#REF!</v>
      </c>
      <c r="DR3" t="e">
        <f>AND(#REF!,"AAAAADP8v3k=")</f>
        <v>#REF!</v>
      </c>
      <c r="DS3" t="e">
        <f>AND(#REF!,"AAAAADP8v3o=")</f>
        <v>#REF!</v>
      </c>
      <c r="DT3" t="e">
        <f>AND(#REF!,"AAAAADP8v3s=")</f>
        <v>#REF!</v>
      </c>
      <c r="DU3" t="e">
        <f>AND(#REF!,"AAAAADP8v3w=")</f>
        <v>#REF!</v>
      </c>
      <c r="DV3" t="e">
        <f>AND(#REF!,"AAAAADP8v30=")</f>
        <v>#REF!</v>
      </c>
      <c r="DW3" t="e">
        <f>IF(#REF!,"AAAAADP8v34=",0)</f>
        <v>#REF!</v>
      </c>
      <c r="DX3" t="e">
        <f>AND(#REF!,"AAAAADP8v38=")</f>
        <v>#REF!</v>
      </c>
      <c r="DY3" t="e">
        <f>AND(#REF!,"AAAAADP8v4A=")</f>
        <v>#REF!</v>
      </c>
      <c r="DZ3" t="e">
        <f>AND(#REF!,"AAAAADP8v4E=")</f>
        <v>#REF!</v>
      </c>
      <c r="EA3" t="e">
        <f>AND(#REF!,"AAAAADP8v4I=")</f>
        <v>#REF!</v>
      </c>
      <c r="EB3" t="e">
        <f>AND(#REF!,"AAAAADP8v4M=")</f>
        <v>#REF!</v>
      </c>
      <c r="EC3" t="e">
        <f>AND(#REF!,"AAAAADP8v4Q=")</f>
        <v>#REF!</v>
      </c>
      <c r="ED3" t="e">
        <f>AND(#REF!,"AAAAADP8v4U=")</f>
        <v>#REF!</v>
      </c>
      <c r="EE3" t="e">
        <f>AND(#REF!,"AAAAADP8v4Y=")</f>
        <v>#REF!</v>
      </c>
      <c r="EF3" t="e">
        <f>AND(#REF!,"AAAAADP8v4c=")</f>
        <v>#REF!</v>
      </c>
      <c r="EG3" t="e">
        <f>AND(#REF!,"AAAAADP8v4g=")</f>
        <v>#REF!</v>
      </c>
      <c r="EH3" t="e">
        <f>AND(#REF!,"AAAAADP8v4k=")</f>
        <v>#REF!</v>
      </c>
      <c r="EI3" t="e">
        <f>AND(#REF!,"AAAAADP8v4o=")</f>
        <v>#REF!</v>
      </c>
      <c r="EJ3" t="e">
        <f>AND(#REF!,"AAAAADP8v4s=")</f>
        <v>#REF!</v>
      </c>
      <c r="EK3" t="e">
        <f>AND(#REF!,"AAAAADP8v4w=")</f>
        <v>#REF!</v>
      </c>
      <c r="EL3" t="e">
        <f>AND(#REF!,"AAAAADP8v40=")</f>
        <v>#REF!</v>
      </c>
      <c r="EM3" t="e">
        <f>AND(#REF!,"AAAAADP8v44=")</f>
        <v>#REF!</v>
      </c>
      <c r="EN3" t="e">
        <f>AND(#REF!,"AAAAADP8v48=")</f>
        <v>#REF!</v>
      </c>
      <c r="EO3" t="e">
        <f>AND(#REF!,"AAAAADP8v5A=")</f>
        <v>#REF!</v>
      </c>
      <c r="EP3" t="e">
        <f>AND(#REF!,"AAAAADP8v5E=")</f>
        <v>#REF!</v>
      </c>
      <c r="EQ3" t="e">
        <f>AND(#REF!,"AAAAADP8v5I=")</f>
        <v>#REF!</v>
      </c>
      <c r="ER3" t="e">
        <f>AND(#REF!,"AAAAADP8v5M=")</f>
        <v>#REF!</v>
      </c>
      <c r="ES3" t="e">
        <f>AND(#REF!,"AAAAADP8v5Q=")</f>
        <v>#REF!</v>
      </c>
      <c r="ET3" t="e">
        <f>AND(#REF!,"AAAAADP8v5U=")</f>
        <v>#REF!</v>
      </c>
      <c r="EU3" t="e">
        <f>AND(#REF!,"AAAAADP8v5Y=")</f>
        <v>#REF!</v>
      </c>
      <c r="EV3" t="e">
        <f>AND(#REF!,"AAAAADP8v5c=")</f>
        <v>#REF!</v>
      </c>
      <c r="EW3" t="e">
        <f>AND(#REF!,"AAAAADP8v5g=")</f>
        <v>#REF!</v>
      </c>
      <c r="EX3" t="e">
        <f>AND(#REF!,"AAAAADP8v5k=")</f>
        <v>#REF!</v>
      </c>
      <c r="EY3" t="e">
        <f>AND(#REF!,"AAAAADP8v5o=")</f>
        <v>#REF!</v>
      </c>
      <c r="EZ3" t="e">
        <f>IF(#REF!,"AAAAADP8v5s=",0)</f>
        <v>#REF!</v>
      </c>
      <c r="FA3" t="e">
        <f>AND(#REF!,"AAAAADP8v5w=")</f>
        <v>#REF!</v>
      </c>
      <c r="FB3" t="e">
        <f>AND(#REF!,"AAAAADP8v50=")</f>
        <v>#REF!</v>
      </c>
      <c r="FC3" t="e">
        <f>AND(#REF!,"AAAAADP8v54=")</f>
        <v>#REF!</v>
      </c>
      <c r="FD3" t="e">
        <f>AND(#REF!,"AAAAADP8v58=")</f>
        <v>#REF!</v>
      </c>
      <c r="FE3" t="e">
        <f>AND(#REF!,"AAAAADP8v6A=")</f>
        <v>#REF!</v>
      </c>
      <c r="FF3" t="e">
        <f>AND(#REF!,"AAAAADP8v6E=")</f>
        <v>#REF!</v>
      </c>
      <c r="FG3" t="e">
        <f>AND(#REF!,"AAAAADP8v6I=")</f>
        <v>#REF!</v>
      </c>
      <c r="FH3" t="e">
        <f>AND(#REF!,"AAAAADP8v6M=")</f>
        <v>#REF!</v>
      </c>
      <c r="FI3" t="e">
        <f>AND(#REF!,"AAAAADP8v6Q=")</f>
        <v>#REF!</v>
      </c>
      <c r="FJ3" t="e">
        <f>AND(#REF!,"AAAAADP8v6U=")</f>
        <v>#REF!</v>
      </c>
      <c r="FK3" t="e">
        <f>AND(#REF!,"AAAAADP8v6Y=")</f>
        <v>#REF!</v>
      </c>
      <c r="FL3" t="e">
        <f>AND(#REF!,"AAAAADP8v6c=")</f>
        <v>#REF!</v>
      </c>
      <c r="FM3" t="e">
        <f>AND(#REF!,"AAAAADP8v6g=")</f>
        <v>#REF!</v>
      </c>
      <c r="FN3" t="e">
        <f>AND(#REF!,"AAAAADP8v6k=")</f>
        <v>#REF!</v>
      </c>
      <c r="FO3" t="e">
        <f>AND(#REF!,"AAAAADP8v6o=")</f>
        <v>#REF!</v>
      </c>
      <c r="FP3" t="e">
        <f>AND(#REF!,"AAAAADP8v6s=")</f>
        <v>#REF!</v>
      </c>
      <c r="FQ3" t="e">
        <f>AND(#REF!,"AAAAADP8v6w=")</f>
        <v>#REF!</v>
      </c>
      <c r="FR3" t="e">
        <f>AND(#REF!,"AAAAADP8v60=")</f>
        <v>#REF!</v>
      </c>
      <c r="FS3" t="e">
        <f>AND(#REF!,"AAAAADP8v64=")</f>
        <v>#REF!</v>
      </c>
      <c r="FT3" t="e">
        <f>AND(#REF!,"AAAAADP8v68=")</f>
        <v>#REF!</v>
      </c>
      <c r="FU3" t="e">
        <f>AND(#REF!,"AAAAADP8v7A=")</f>
        <v>#REF!</v>
      </c>
      <c r="FV3" t="e">
        <f>AND(#REF!,"AAAAADP8v7E=")</f>
        <v>#REF!</v>
      </c>
      <c r="FW3" t="e">
        <f>AND(#REF!,"AAAAADP8v7I=")</f>
        <v>#REF!</v>
      </c>
      <c r="FX3" t="e">
        <f>AND(#REF!,"AAAAADP8v7M=")</f>
        <v>#REF!</v>
      </c>
      <c r="FY3" t="e">
        <f>AND(#REF!,"AAAAADP8v7Q=")</f>
        <v>#REF!</v>
      </c>
      <c r="FZ3" t="e">
        <f>AND(#REF!,"AAAAADP8v7U=")</f>
        <v>#REF!</v>
      </c>
      <c r="GA3" t="e">
        <f>AND(#REF!,"AAAAADP8v7Y=")</f>
        <v>#REF!</v>
      </c>
      <c r="GB3" t="e">
        <f>AND(#REF!,"AAAAADP8v7c=")</f>
        <v>#REF!</v>
      </c>
      <c r="GC3" t="e">
        <f>IF(#REF!,"AAAAADP8v7g=",0)</f>
        <v>#REF!</v>
      </c>
      <c r="GD3" t="e">
        <f>AND(#REF!,"AAAAADP8v7k=")</f>
        <v>#REF!</v>
      </c>
      <c r="GE3" t="e">
        <f>AND(#REF!,"AAAAADP8v7o=")</f>
        <v>#REF!</v>
      </c>
      <c r="GF3" t="e">
        <f>AND(#REF!,"AAAAADP8v7s=")</f>
        <v>#REF!</v>
      </c>
      <c r="GG3" t="e">
        <f>AND(#REF!,"AAAAADP8v7w=")</f>
        <v>#REF!</v>
      </c>
      <c r="GH3" t="e">
        <f>AND(#REF!,"AAAAADP8v70=")</f>
        <v>#REF!</v>
      </c>
      <c r="GI3" t="e">
        <f>AND(#REF!,"AAAAADP8v74=")</f>
        <v>#REF!</v>
      </c>
      <c r="GJ3" t="e">
        <f>AND(#REF!,"AAAAADP8v78=")</f>
        <v>#REF!</v>
      </c>
      <c r="GK3" t="e">
        <f>AND(#REF!,"AAAAADP8v8A=")</f>
        <v>#REF!</v>
      </c>
      <c r="GL3" t="e">
        <f>AND(#REF!,"AAAAADP8v8E=")</f>
        <v>#REF!</v>
      </c>
      <c r="GM3" t="e">
        <f>AND(#REF!,"AAAAADP8v8I=")</f>
        <v>#REF!</v>
      </c>
      <c r="GN3" t="e">
        <f>AND(#REF!,"AAAAADP8v8M=")</f>
        <v>#REF!</v>
      </c>
      <c r="GO3" t="e">
        <f>AND(#REF!,"AAAAADP8v8Q=")</f>
        <v>#REF!</v>
      </c>
      <c r="GP3" t="e">
        <f>AND(#REF!,"AAAAADP8v8U=")</f>
        <v>#REF!</v>
      </c>
      <c r="GQ3" t="e">
        <f>AND(#REF!,"AAAAADP8v8Y=")</f>
        <v>#REF!</v>
      </c>
      <c r="GR3" t="e">
        <f>AND(#REF!,"AAAAADP8v8c=")</f>
        <v>#REF!</v>
      </c>
      <c r="GS3" t="e">
        <f>AND(#REF!,"AAAAADP8v8g=")</f>
        <v>#REF!</v>
      </c>
      <c r="GT3" t="e">
        <f>AND(#REF!,"AAAAADP8v8k=")</f>
        <v>#REF!</v>
      </c>
      <c r="GU3" t="e">
        <f>AND(#REF!,"AAAAADP8v8o=")</f>
        <v>#REF!</v>
      </c>
      <c r="GV3" t="e">
        <f>AND(#REF!,"AAAAADP8v8s=")</f>
        <v>#REF!</v>
      </c>
      <c r="GW3" t="e">
        <f>AND(#REF!,"AAAAADP8v8w=")</f>
        <v>#REF!</v>
      </c>
      <c r="GX3" t="e">
        <f>AND(#REF!,"AAAAADP8v80=")</f>
        <v>#REF!</v>
      </c>
      <c r="GY3" t="e">
        <f>AND(#REF!,"AAAAADP8v84=")</f>
        <v>#REF!</v>
      </c>
      <c r="GZ3" t="e">
        <f>AND(#REF!,"AAAAADP8v88=")</f>
        <v>#REF!</v>
      </c>
      <c r="HA3" t="e">
        <f>AND(#REF!,"AAAAADP8v9A=")</f>
        <v>#REF!</v>
      </c>
      <c r="HB3" t="e">
        <f>AND(#REF!,"AAAAADP8v9E=")</f>
        <v>#REF!</v>
      </c>
      <c r="HC3" t="e">
        <f>AND(#REF!,"AAAAADP8v9I=")</f>
        <v>#REF!</v>
      </c>
      <c r="HD3" t="e">
        <f>AND(#REF!,"AAAAADP8v9M=")</f>
        <v>#REF!</v>
      </c>
      <c r="HE3" t="e">
        <f>AND(#REF!,"AAAAADP8v9Q=")</f>
        <v>#REF!</v>
      </c>
      <c r="HF3" t="e">
        <f>IF(#REF!,"AAAAADP8v9U=",0)</f>
        <v>#REF!</v>
      </c>
      <c r="HG3" t="e">
        <f>AND(#REF!,"AAAAADP8v9Y=")</f>
        <v>#REF!</v>
      </c>
      <c r="HH3" t="e">
        <f>AND(#REF!,"AAAAADP8v9c=")</f>
        <v>#REF!</v>
      </c>
      <c r="HI3" t="e">
        <f>AND(#REF!,"AAAAADP8v9g=")</f>
        <v>#REF!</v>
      </c>
      <c r="HJ3" t="e">
        <f>AND(#REF!,"AAAAADP8v9k=")</f>
        <v>#REF!</v>
      </c>
      <c r="HK3" t="e">
        <f>AND(#REF!,"AAAAADP8v9o=")</f>
        <v>#REF!</v>
      </c>
      <c r="HL3" t="e">
        <f>AND(#REF!,"AAAAADP8v9s=")</f>
        <v>#REF!</v>
      </c>
      <c r="HM3" t="e">
        <f>AND(#REF!,"AAAAADP8v9w=")</f>
        <v>#REF!</v>
      </c>
      <c r="HN3" t="e">
        <f>AND(#REF!,"AAAAADP8v90=")</f>
        <v>#REF!</v>
      </c>
      <c r="HO3" t="e">
        <f>AND(#REF!,"AAAAADP8v94=")</f>
        <v>#REF!</v>
      </c>
      <c r="HP3" t="e">
        <f>AND(#REF!,"AAAAADP8v98=")</f>
        <v>#REF!</v>
      </c>
      <c r="HQ3" t="e">
        <f>AND(#REF!,"AAAAADP8v+A=")</f>
        <v>#REF!</v>
      </c>
      <c r="HR3" t="e">
        <f>AND(#REF!,"AAAAADP8v+E=")</f>
        <v>#REF!</v>
      </c>
      <c r="HS3" t="e">
        <f>AND(#REF!,"AAAAADP8v+I=")</f>
        <v>#REF!</v>
      </c>
      <c r="HT3" t="e">
        <f>AND(#REF!,"AAAAADP8v+M=")</f>
        <v>#REF!</v>
      </c>
      <c r="HU3" t="e">
        <f>AND(#REF!,"AAAAADP8v+Q=")</f>
        <v>#REF!</v>
      </c>
      <c r="HV3" t="e">
        <f>AND(#REF!,"AAAAADP8v+U=")</f>
        <v>#REF!</v>
      </c>
      <c r="HW3" t="e">
        <f>AND(#REF!,"AAAAADP8v+Y=")</f>
        <v>#REF!</v>
      </c>
      <c r="HX3" t="e">
        <f>AND(#REF!,"AAAAADP8v+c=")</f>
        <v>#REF!</v>
      </c>
      <c r="HY3" t="e">
        <f>AND(#REF!,"AAAAADP8v+g=")</f>
        <v>#REF!</v>
      </c>
      <c r="HZ3" t="e">
        <f>AND(#REF!,"AAAAADP8v+k=")</f>
        <v>#REF!</v>
      </c>
      <c r="IA3" t="e">
        <f>AND(#REF!,"AAAAADP8v+o=")</f>
        <v>#REF!</v>
      </c>
      <c r="IB3" t="e">
        <f>AND(#REF!,"AAAAADP8v+s=")</f>
        <v>#REF!</v>
      </c>
      <c r="IC3" t="e">
        <f>AND(#REF!,"AAAAADP8v+w=")</f>
        <v>#REF!</v>
      </c>
      <c r="ID3" t="e">
        <f>AND(#REF!,"AAAAADP8v+0=")</f>
        <v>#REF!</v>
      </c>
      <c r="IE3" t="e">
        <f>AND(#REF!,"AAAAADP8v+4=")</f>
        <v>#REF!</v>
      </c>
      <c r="IF3" t="e">
        <f>AND(#REF!,"AAAAADP8v+8=")</f>
        <v>#REF!</v>
      </c>
      <c r="IG3" t="e">
        <f>AND(#REF!,"AAAAADP8v/A=")</f>
        <v>#REF!</v>
      </c>
      <c r="IH3" t="e">
        <f>AND(#REF!,"AAAAADP8v/E=")</f>
        <v>#REF!</v>
      </c>
      <c r="II3" t="e">
        <f>IF(#REF!,"AAAAADP8v/I=",0)</f>
        <v>#REF!</v>
      </c>
      <c r="IJ3" t="e">
        <f>AND(#REF!,"AAAAADP8v/M=")</f>
        <v>#REF!</v>
      </c>
      <c r="IK3" t="e">
        <f>AND(#REF!,"AAAAADP8v/Q=")</f>
        <v>#REF!</v>
      </c>
      <c r="IL3" t="e">
        <f>AND(#REF!,"AAAAADP8v/U=")</f>
        <v>#REF!</v>
      </c>
      <c r="IM3" t="e">
        <f>AND(#REF!,"AAAAADP8v/Y=")</f>
        <v>#REF!</v>
      </c>
      <c r="IN3" t="e">
        <f>AND(#REF!,"AAAAADP8v/c=")</f>
        <v>#REF!</v>
      </c>
      <c r="IO3" t="e">
        <f>AND(#REF!,"AAAAADP8v/g=")</f>
        <v>#REF!</v>
      </c>
      <c r="IP3" t="e">
        <f>AND(#REF!,"AAAAADP8v/k=")</f>
        <v>#REF!</v>
      </c>
      <c r="IQ3" t="e">
        <f>AND(#REF!,"AAAAADP8v/o=")</f>
        <v>#REF!</v>
      </c>
      <c r="IR3" t="e">
        <f>AND(#REF!,"AAAAADP8v/s=")</f>
        <v>#REF!</v>
      </c>
      <c r="IS3" t="e">
        <f>AND(#REF!,"AAAAADP8v/w=")</f>
        <v>#REF!</v>
      </c>
      <c r="IT3" t="e">
        <f>AND(#REF!,"AAAAADP8v/0=")</f>
        <v>#REF!</v>
      </c>
      <c r="IU3" t="e">
        <f>AND(#REF!,"AAAAADP8v/4=")</f>
        <v>#REF!</v>
      </c>
      <c r="IV3" t="e">
        <f>AND(#REF!,"AAAAADP8v/8=")</f>
        <v>#REF!</v>
      </c>
    </row>
    <row r="4" spans="1:256" ht="12.75">
      <c r="A4" t="e">
        <f>AND(#REF!,"AAAAAF/vWwA=")</f>
        <v>#REF!</v>
      </c>
      <c r="B4" t="e">
        <f>AND(#REF!,"AAAAAF/vWwE=")</f>
        <v>#REF!</v>
      </c>
      <c r="C4" t="e">
        <f>AND(#REF!,"AAAAAF/vWwI=")</f>
        <v>#REF!</v>
      </c>
      <c r="D4" t="e">
        <f>AND(#REF!,"AAAAAF/vWwM=")</f>
        <v>#REF!</v>
      </c>
      <c r="E4" t="e">
        <f>AND(#REF!,"AAAAAF/vWwQ=")</f>
        <v>#REF!</v>
      </c>
      <c r="F4" t="e">
        <f>AND(#REF!,"AAAAAF/vWwU=")</f>
        <v>#REF!</v>
      </c>
      <c r="G4" t="e">
        <f>AND(#REF!,"AAAAAF/vWwY=")</f>
        <v>#REF!</v>
      </c>
      <c r="H4" t="e">
        <f>AND(#REF!,"AAAAAF/vWwc=")</f>
        <v>#REF!</v>
      </c>
      <c r="I4" t="e">
        <f>AND(#REF!,"AAAAAF/vWwg=")</f>
        <v>#REF!</v>
      </c>
      <c r="J4" t="e">
        <f>AND(#REF!,"AAAAAF/vWwk=")</f>
        <v>#REF!</v>
      </c>
      <c r="K4" t="e">
        <f>AND(#REF!,"AAAAAF/vWwo=")</f>
        <v>#REF!</v>
      </c>
      <c r="L4" t="e">
        <f>AND(#REF!,"AAAAAF/vWws=")</f>
        <v>#REF!</v>
      </c>
      <c r="M4" t="e">
        <f>AND(#REF!,"AAAAAF/vWww=")</f>
        <v>#REF!</v>
      </c>
      <c r="N4" t="e">
        <f>AND(#REF!,"AAAAAF/vWw0=")</f>
        <v>#REF!</v>
      </c>
      <c r="O4" t="e">
        <f>AND(#REF!,"AAAAAF/vWw4=")</f>
        <v>#REF!</v>
      </c>
      <c r="P4" t="e">
        <f>IF(#REF!,"AAAAAF/vWw8=",0)</f>
        <v>#REF!</v>
      </c>
      <c r="Q4" t="e">
        <f>AND(#REF!,"AAAAAF/vWxA=")</f>
        <v>#REF!</v>
      </c>
      <c r="R4" t="e">
        <f>AND(#REF!,"AAAAAF/vWxE=")</f>
        <v>#REF!</v>
      </c>
      <c r="S4" t="e">
        <f>AND(#REF!,"AAAAAF/vWxI=")</f>
        <v>#REF!</v>
      </c>
      <c r="T4" t="e">
        <f>AND(#REF!,"AAAAAF/vWxM=")</f>
        <v>#REF!</v>
      </c>
      <c r="U4" t="e">
        <f>AND(#REF!,"AAAAAF/vWxQ=")</f>
        <v>#REF!</v>
      </c>
      <c r="V4" t="e">
        <f>AND(#REF!,"AAAAAF/vWxU=")</f>
        <v>#REF!</v>
      </c>
      <c r="W4" t="e">
        <f>AND(#REF!,"AAAAAF/vWxY=")</f>
        <v>#REF!</v>
      </c>
      <c r="X4" t="e">
        <f>AND(#REF!,"AAAAAF/vWxc=")</f>
        <v>#REF!</v>
      </c>
      <c r="Y4" t="e">
        <f>AND(#REF!,"AAAAAF/vWxg=")</f>
        <v>#REF!</v>
      </c>
      <c r="Z4" t="e">
        <f>AND(#REF!,"AAAAAF/vWxk=")</f>
        <v>#REF!</v>
      </c>
      <c r="AA4" t="e">
        <f>AND(#REF!,"AAAAAF/vWxo=")</f>
        <v>#REF!</v>
      </c>
      <c r="AB4" t="e">
        <f>AND(#REF!,"AAAAAF/vWxs=")</f>
        <v>#REF!</v>
      </c>
      <c r="AC4" t="e">
        <f>AND(#REF!,"AAAAAF/vWxw=")</f>
        <v>#REF!</v>
      </c>
      <c r="AD4" t="e">
        <f>AND(#REF!,"AAAAAF/vWx0=")</f>
        <v>#REF!</v>
      </c>
      <c r="AE4" t="e">
        <f>AND(#REF!,"AAAAAF/vWx4=")</f>
        <v>#REF!</v>
      </c>
      <c r="AF4" t="e">
        <f>AND(#REF!,"AAAAAF/vWx8=")</f>
        <v>#REF!</v>
      </c>
      <c r="AG4" t="e">
        <f>AND(#REF!,"AAAAAF/vWyA=")</f>
        <v>#REF!</v>
      </c>
      <c r="AH4" t="e">
        <f>AND(#REF!,"AAAAAF/vWyE=")</f>
        <v>#REF!</v>
      </c>
      <c r="AI4" t="e">
        <f>AND(#REF!,"AAAAAF/vWyI=")</f>
        <v>#REF!</v>
      </c>
      <c r="AJ4" t="e">
        <f>AND(#REF!,"AAAAAF/vWyM=")</f>
        <v>#REF!</v>
      </c>
      <c r="AK4" t="e">
        <f>AND(#REF!,"AAAAAF/vWyQ=")</f>
        <v>#REF!</v>
      </c>
      <c r="AL4" t="e">
        <f>AND(#REF!,"AAAAAF/vWyU=")</f>
        <v>#REF!</v>
      </c>
      <c r="AM4" t="e">
        <f>AND(#REF!,"AAAAAF/vWyY=")</f>
        <v>#REF!</v>
      </c>
      <c r="AN4" t="e">
        <f>AND(#REF!,"AAAAAF/vWyc=")</f>
        <v>#REF!</v>
      </c>
      <c r="AO4" t="e">
        <f>AND(#REF!,"AAAAAF/vWyg=")</f>
        <v>#REF!</v>
      </c>
      <c r="AP4" t="e">
        <f>AND(#REF!,"AAAAAF/vWyk=")</f>
        <v>#REF!</v>
      </c>
      <c r="AQ4" t="e">
        <f>AND(#REF!,"AAAAAF/vWyo=")</f>
        <v>#REF!</v>
      </c>
      <c r="AR4" t="e">
        <f>AND(#REF!,"AAAAAF/vWys=")</f>
        <v>#REF!</v>
      </c>
      <c r="AS4" t="e">
        <f>IF(#REF!,"AAAAAF/vWyw=",0)</f>
        <v>#REF!</v>
      </c>
      <c r="AT4" t="e">
        <f>AND(#REF!,"AAAAAF/vWy0=")</f>
        <v>#REF!</v>
      </c>
      <c r="AU4" t="e">
        <f>AND(#REF!,"AAAAAF/vWy4=")</f>
        <v>#REF!</v>
      </c>
      <c r="AV4" t="e">
        <f>AND(#REF!,"AAAAAF/vWy8=")</f>
        <v>#REF!</v>
      </c>
      <c r="AW4" t="e">
        <f>AND(#REF!,"AAAAAF/vWzA=")</f>
        <v>#REF!</v>
      </c>
      <c r="AX4" t="e">
        <f>AND(#REF!,"AAAAAF/vWzE=")</f>
        <v>#REF!</v>
      </c>
      <c r="AY4" t="e">
        <f>AND(#REF!,"AAAAAF/vWzI=")</f>
        <v>#REF!</v>
      </c>
      <c r="AZ4" t="e">
        <f>AND(#REF!,"AAAAAF/vWzM=")</f>
        <v>#REF!</v>
      </c>
      <c r="BA4" t="e">
        <f>AND(#REF!,"AAAAAF/vWzQ=")</f>
        <v>#REF!</v>
      </c>
      <c r="BB4" t="e">
        <f>AND(#REF!,"AAAAAF/vWzU=")</f>
        <v>#REF!</v>
      </c>
      <c r="BC4" t="e">
        <f>AND(#REF!,"AAAAAF/vWzY=")</f>
        <v>#REF!</v>
      </c>
      <c r="BD4" t="e">
        <f>AND(#REF!,"AAAAAF/vWzc=")</f>
        <v>#REF!</v>
      </c>
      <c r="BE4" t="e">
        <f>AND(#REF!,"AAAAAF/vWzg=")</f>
        <v>#REF!</v>
      </c>
      <c r="BF4" t="e">
        <f>AND(#REF!,"AAAAAF/vWzk=")</f>
        <v>#REF!</v>
      </c>
      <c r="BG4" t="e">
        <f>AND(#REF!,"AAAAAF/vWzo=")</f>
        <v>#REF!</v>
      </c>
      <c r="BH4" t="e">
        <f>AND(#REF!,"AAAAAF/vWzs=")</f>
        <v>#REF!</v>
      </c>
      <c r="BI4" t="e">
        <f>AND(#REF!,"AAAAAF/vWzw=")</f>
        <v>#REF!</v>
      </c>
      <c r="BJ4" t="e">
        <f>AND(#REF!,"AAAAAF/vWz0=")</f>
        <v>#REF!</v>
      </c>
      <c r="BK4" t="e">
        <f>AND(#REF!,"AAAAAF/vWz4=")</f>
        <v>#REF!</v>
      </c>
      <c r="BL4" t="e">
        <f>AND(#REF!,"AAAAAF/vWz8=")</f>
        <v>#REF!</v>
      </c>
      <c r="BM4" t="e">
        <f>AND(#REF!,"AAAAAF/vW0A=")</f>
        <v>#REF!</v>
      </c>
      <c r="BN4" t="e">
        <f>AND(#REF!,"AAAAAF/vW0E=")</f>
        <v>#REF!</v>
      </c>
      <c r="BO4" t="e">
        <f>AND(#REF!,"AAAAAF/vW0I=")</f>
        <v>#REF!</v>
      </c>
      <c r="BP4" t="e">
        <f>AND(#REF!,"AAAAAF/vW0M=")</f>
        <v>#REF!</v>
      </c>
      <c r="BQ4" t="e">
        <f>AND(#REF!,"AAAAAF/vW0Q=")</f>
        <v>#REF!</v>
      </c>
      <c r="BR4" t="e">
        <f>AND(#REF!,"AAAAAF/vW0U=")</f>
        <v>#REF!</v>
      </c>
      <c r="BS4" t="e">
        <f>AND(#REF!,"AAAAAF/vW0Y=")</f>
        <v>#REF!</v>
      </c>
      <c r="BT4" t="e">
        <f>AND(#REF!,"AAAAAF/vW0c=")</f>
        <v>#REF!</v>
      </c>
      <c r="BU4" t="e">
        <f>AND(#REF!,"AAAAAF/vW0g=")</f>
        <v>#REF!</v>
      </c>
      <c r="BV4" t="e">
        <f>IF(#REF!,"AAAAAF/vW0k=",0)</f>
        <v>#REF!</v>
      </c>
      <c r="BW4" t="e">
        <f>AND(#REF!,"AAAAAF/vW0o=")</f>
        <v>#REF!</v>
      </c>
      <c r="BX4" t="e">
        <f>AND(#REF!,"AAAAAF/vW0s=")</f>
        <v>#REF!</v>
      </c>
      <c r="BY4" t="e">
        <f>AND(#REF!,"AAAAAF/vW0w=")</f>
        <v>#REF!</v>
      </c>
      <c r="BZ4" t="e">
        <f>AND(#REF!,"AAAAAF/vW00=")</f>
        <v>#REF!</v>
      </c>
      <c r="CA4" t="e">
        <f>AND(#REF!,"AAAAAF/vW04=")</f>
        <v>#REF!</v>
      </c>
      <c r="CB4" t="e">
        <f>AND(#REF!,"AAAAAF/vW08=")</f>
        <v>#REF!</v>
      </c>
      <c r="CC4" t="e">
        <f>AND(#REF!,"AAAAAF/vW1A=")</f>
        <v>#REF!</v>
      </c>
      <c r="CD4" t="e">
        <f>AND(#REF!,"AAAAAF/vW1E=")</f>
        <v>#REF!</v>
      </c>
      <c r="CE4" t="e">
        <f>AND(#REF!,"AAAAAF/vW1I=")</f>
        <v>#REF!</v>
      </c>
      <c r="CF4" t="e">
        <f>AND(#REF!,"AAAAAF/vW1M=")</f>
        <v>#REF!</v>
      </c>
      <c r="CG4" t="e">
        <f>AND(#REF!,"AAAAAF/vW1Q=")</f>
        <v>#REF!</v>
      </c>
      <c r="CH4" t="e">
        <f>AND(#REF!,"AAAAAF/vW1U=")</f>
        <v>#REF!</v>
      </c>
      <c r="CI4" t="e">
        <f>AND(#REF!,"AAAAAF/vW1Y=")</f>
        <v>#REF!</v>
      </c>
      <c r="CJ4" t="e">
        <f>AND(#REF!,"AAAAAF/vW1c=")</f>
        <v>#REF!</v>
      </c>
      <c r="CK4" t="e">
        <f>AND(#REF!,"AAAAAF/vW1g=")</f>
        <v>#REF!</v>
      </c>
      <c r="CL4" t="e">
        <f>AND(#REF!,"AAAAAF/vW1k=")</f>
        <v>#REF!</v>
      </c>
      <c r="CM4" t="e">
        <f>AND(#REF!,"AAAAAF/vW1o=")</f>
        <v>#REF!</v>
      </c>
      <c r="CN4" t="e">
        <f>AND(#REF!,"AAAAAF/vW1s=")</f>
        <v>#REF!</v>
      </c>
      <c r="CO4" t="e">
        <f>AND(#REF!,"AAAAAF/vW1w=")</f>
        <v>#REF!</v>
      </c>
      <c r="CP4" t="e">
        <f>AND(#REF!,"AAAAAF/vW10=")</f>
        <v>#REF!</v>
      </c>
      <c r="CQ4" t="e">
        <f>AND(#REF!,"AAAAAF/vW14=")</f>
        <v>#REF!</v>
      </c>
      <c r="CR4" t="e">
        <f>AND(#REF!,"AAAAAF/vW18=")</f>
        <v>#REF!</v>
      </c>
      <c r="CS4" t="e">
        <f>AND(#REF!,"AAAAAF/vW2A=")</f>
        <v>#REF!</v>
      </c>
      <c r="CT4" t="e">
        <f>AND(#REF!,"AAAAAF/vW2E=")</f>
        <v>#REF!</v>
      </c>
      <c r="CU4" t="e">
        <f>AND(#REF!,"AAAAAF/vW2I=")</f>
        <v>#REF!</v>
      </c>
      <c r="CV4" t="e">
        <f>AND(#REF!,"AAAAAF/vW2M=")</f>
        <v>#REF!</v>
      </c>
      <c r="CW4" t="e">
        <f>AND(#REF!,"AAAAAF/vW2Q=")</f>
        <v>#REF!</v>
      </c>
      <c r="CX4" t="e">
        <f>AND(#REF!,"AAAAAF/vW2U=")</f>
        <v>#REF!</v>
      </c>
      <c r="CY4" t="e">
        <f>IF(#REF!,"AAAAAF/vW2Y=",0)</f>
        <v>#REF!</v>
      </c>
      <c r="CZ4" t="e">
        <f>IF(#REF!,"AAAAAF/vW2c=",0)</f>
        <v>#REF!</v>
      </c>
      <c r="DA4" t="e">
        <f>IF(#REF!,"AAAAAF/vW2g=",0)</f>
        <v>#REF!</v>
      </c>
      <c r="DB4" t="e">
        <f>IF(#REF!,"AAAAAF/vW2k=",0)</f>
        <v>#REF!</v>
      </c>
      <c r="DC4" t="e">
        <f>IF(#REF!,"AAAAAF/vW2o=",0)</f>
        <v>#REF!</v>
      </c>
      <c r="DD4" t="e">
        <f>IF(#REF!,"AAAAAF/vW2s=",0)</f>
        <v>#REF!</v>
      </c>
      <c r="DE4" t="e">
        <f>IF(#REF!,"AAAAAF/vW2w=",0)</f>
        <v>#REF!</v>
      </c>
      <c r="DF4" t="e">
        <f>IF(#REF!,"AAAAAF/vW20=",0)</f>
        <v>#REF!</v>
      </c>
      <c r="DG4" t="e">
        <f>IF(#REF!,"AAAAAF/vW24=",0)</f>
        <v>#REF!</v>
      </c>
      <c r="DH4" t="e">
        <f>IF(#REF!,"AAAAAF/vW28=",0)</f>
        <v>#REF!</v>
      </c>
      <c r="DI4" t="e">
        <f>IF(#REF!,"AAAAAF/vW3A=",0)</f>
        <v>#REF!</v>
      </c>
      <c r="DJ4" t="e">
        <f>IF(#REF!,"AAAAAF/vW3E=",0)</f>
        <v>#REF!</v>
      </c>
      <c r="DK4" t="e">
        <f>IF(#REF!,"AAAAAF/vW3I=",0)</f>
        <v>#REF!</v>
      </c>
      <c r="DL4" t="e">
        <f>IF(#REF!,"AAAAAF/vW3M=",0)</f>
        <v>#REF!</v>
      </c>
      <c r="DM4" t="e">
        <f>IF(#REF!,"AAAAAF/vW3Q=",0)</f>
        <v>#REF!</v>
      </c>
      <c r="DN4" t="e">
        <f>IF(#REF!,"AAAAAF/vW3U=",0)</f>
        <v>#REF!</v>
      </c>
      <c r="DO4" t="e">
        <f>IF(#REF!,"AAAAAF/vW3Y=",0)</f>
        <v>#REF!</v>
      </c>
      <c r="DP4" t="e">
        <f>IF(#REF!,"AAAAAF/vW3c=",0)</f>
        <v>#REF!</v>
      </c>
      <c r="DQ4" t="e">
        <f>IF(#REF!,"AAAAAF/vW3g=",0)</f>
        <v>#REF!</v>
      </c>
      <c r="DR4" t="e">
        <f>IF(#REF!,"AAAAAF/vW3k=",0)</f>
        <v>#REF!</v>
      </c>
      <c r="DS4" t="e">
        <f>IF(#REF!,"AAAAAF/vW3o=",0)</f>
        <v>#REF!</v>
      </c>
      <c r="DT4" t="e">
        <f>IF(#REF!,"AAAAAF/vW3s=",0)</f>
        <v>#REF!</v>
      </c>
      <c r="DU4" t="e">
        <f>IF(#REF!,"AAAAAF/vW3w=",0)</f>
        <v>#REF!</v>
      </c>
      <c r="DV4" t="e">
        <f>IF(#REF!,"AAAAAF/vW30=",0)</f>
        <v>#REF!</v>
      </c>
      <c r="DW4" t="e">
        <f>IF(#REF!,"AAAAAF/vW34=",0)</f>
        <v>#REF!</v>
      </c>
      <c r="DX4" t="e">
        <f>IF(#REF!,"AAAAAF/vW38=",0)</f>
        <v>#REF!</v>
      </c>
      <c r="DY4" t="e">
        <f>IF(#REF!,"AAAAAF/vW4A=",0)</f>
        <v>#REF!</v>
      </c>
      <c r="DZ4" t="e">
        <f>IF(#REF!,"AAAAAF/vW4E=",0)</f>
        <v>#REF!</v>
      </c>
      <c r="EA4" t="e">
        <f>IF(#REF!,"AAAAAF/vW4I=",0)</f>
        <v>#REF!</v>
      </c>
      <c r="EB4" t="e">
        <f>IF(#REF!,"AAAAAF/vW4M=",0)</f>
        <v>#REF!</v>
      </c>
      <c r="EC4" t="e">
        <f>IF(#REF!,"AAAAAF/vW4Q=",0)</f>
        <v>#REF!</v>
      </c>
      <c r="ED4" t="e">
        <f>IF(#REF!,"AAAAAF/vW4U=",0)</f>
        <v>#REF!</v>
      </c>
      <c r="EE4" t="e">
        <f>IF(#REF!,"AAAAAF/vW4Y=",0)</f>
        <v>#REF!</v>
      </c>
      <c r="EF4" t="e">
        <f>IF(#REF!,"AAAAAF/vW4c=",0)</f>
        <v>#REF!</v>
      </c>
      <c r="EG4" t="e">
        <f>IF(#REF!,"AAAAAF/vW4g=",0)</f>
        <v>#REF!</v>
      </c>
      <c r="EH4" t="e">
        <f>IF(#REF!,"AAAAAF/vW4k=",0)</f>
        <v>#REF!</v>
      </c>
      <c r="EI4" t="e">
        <f>IF(#REF!,"AAAAAF/vW4o=",0)</f>
        <v>#REF!</v>
      </c>
      <c r="EJ4" t="e">
        <f>IF(#REF!,"AAAAAF/vW4s=",0)</f>
        <v>#REF!</v>
      </c>
      <c r="EK4" t="e">
        <f>IF(#REF!,"AAAAAF/vW4w=",0)</f>
        <v>#REF!</v>
      </c>
      <c r="EL4" t="e">
        <f>IF(#REF!,"AAAAAF/vW40=",0)</f>
        <v>#REF!</v>
      </c>
      <c r="EM4" t="e">
        <f>IF(#REF!,"AAAAAF/vW44=",0)</f>
        <v>#REF!</v>
      </c>
      <c r="EN4" t="e">
        <f>IF(#REF!,"AAAAAF/vW48=",0)</f>
        <v>#REF!</v>
      </c>
      <c r="EO4" t="e">
        <f>IF(#REF!,"AAAAAF/vW5A=",0)</f>
        <v>#REF!</v>
      </c>
      <c r="EP4" t="e">
        <f>IF(#REF!,"AAAAAF/vW5E=",0)</f>
        <v>#REF!</v>
      </c>
      <c r="EQ4" t="e">
        <f>IF(#REF!,"AAAAAF/vW5I=",0)</f>
        <v>#REF!</v>
      </c>
      <c r="ER4" t="e">
        <f>IF(#REF!,"AAAAAF/vW5M=",0)</f>
        <v>#REF!</v>
      </c>
      <c r="ES4" t="e">
        <f>IF(#REF!,"AAAAAF/vW5Q=",0)</f>
        <v>#REF!</v>
      </c>
      <c r="ET4" t="e">
        <f>IF(#REF!,"AAAAAF/vW5U=",0)</f>
        <v>#REF!</v>
      </c>
      <c r="EU4" t="e">
        <f>IF(#REF!,"AAAAAF/vW5Y=",0)</f>
        <v>#REF!</v>
      </c>
      <c r="EV4" t="e">
        <f>IF(#REF!,"AAAAAF/vW5c=",0)</f>
        <v>#REF!</v>
      </c>
      <c r="EW4" t="e">
        <f>IF(#REF!,"AAAAAF/vW5g=",0)</f>
        <v>#REF!</v>
      </c>
      <c r="EX4" t="e">
        <f>IF(#REF!,"AAAAAF/vW5k=",0)</f>
        <v>#REF!</v>
      </c>
      <c r="EY4" t="e">
        <f>IF(#REF!,"AAAAAF/vW5o=",0)</f>
        <v>#REF!</v>
      </c>
      <c r="EZ4" t="e">
        <f>IF(#REF!,"AAAAAF/vW5s=",0)</f>
        <v>#REF!</v>
      </c>
      <c r="FA4" t="e">
        <f>IF(#REF!,"AAAAAF/vW5w=",0)</f>
        <v>#REF!</v>
      </c>
      <c r="FB4" t="e">
        <f>IF(#REF!,"AAAAAF/vW50=",0)</f>
        <v>#REF!</v>
      </c>
      <c r="FC4" t="e">
        <f>IF(#REF!,"AAAAAF/vW54=",0)</f>
        <v>#REF!</v>
      </c>
      <c r="FD4" t="e">
        <f>IF(#REF!,"AAAAAF/vW58=",0)</f>
        <v>#REF!</v>
      </c>
      <c r="FE4" t="e">
        <f>IF(#REF!,"AAAAAF/vW6A=",0)</f>
        <v>#REF!</v>
      </c>
      <c r="FF4" t="e">
        <f>IF(#REF!,"AAAAAF/vW6E=",0)</f>
        <v>#REF!</v>
      </c>
      <c r="FG4" t="e">
        <f>IF(#REF!,"AAAAAF/vW6I=",0)</f>
        <v>#REF!</v>
      </c>
      <c r="FH4" t="e">
        <f>IF(#REF!,"AAAAAF/vW6M=",0)</f>
        <v>#REF!</v>
      </c>
      <c r="FI4" t="e">
        <f>IF(#REF!,"AAAAAF/vW6Q=",0)</f>
        <v>#REF!</v>
      </c>
      <c r="FJ4" t="e">
        <f>IF(#REF!,"AAAAAF/vW6U=",0)</f>
        <v>#REF!</v>
      </c>
      <c r="FK4" t="e">
        <f>IF(#REF!,"AAAAAF/vW6Y=",0)</f>
        <v>#REF!</v>
      </c>
      <c r="FL4" t="e">
        <f>IF(#REF!,"AAAAAF/vW6c=",0)</f>
        <v>#REF!</v>
      </c>
      <c r="FM4" t="e">
        <f>IF(#REF!,"AAAAAF/vW6g=",0)</f>
        <v>#REF!</v>
      </c>
      <c r="FN4" t="e">
        <f>IF(#REF!,"AAAAAF/vW6k=",0)</f>
        <v>#REF!</v>
      </c>
      <c r="FO4" t="e">
        <f>IF(#REF!,"AAAAAF/vW6o=",0)</f>
        <v>#REF!</v>
      </c>
      <c r="FP4" t="e">
        <f>IF(#REF!,"AAAAAF/vW6s=",0)</f>
        <v>#REF!</v>
      </c>
      <c r="FQ4" t="e">
        <f>IF(#REF!,"AAAAAF/vW6w=",0)</f>
        <v>#REF!</v>
      </c>
      <c r="FR4" t="e">
        <f>IF(#REF!,"AAAAAF/vW60=",0)</f>
        <v>#REF!</v>
      </c>
      <c r="FS4" t="e">
        <f>IF(#REF!,"AAAAAF/vW64=",0)</f>
        <v>#REF!</v>
      </c>
      <c r="FT4" t="e">
        <f>IF(#REF!,"AAAAAF/vW68=",0)</f>
        <v>#REF!</v>
      </c>
      <c r="FU4" t="e">
        <f>IF(#REF!,"AAAAAF/vW7A=",0)</f>
        <v>#REF!</v>
      </c>
      <c r="FV4" t="e">
        <f>IF(#REF!,"AAAAAF/vW7E=",0)</f>
        <v>#REF!</v>
      </c>
      <c r="FW4" t="e">
        <f>IF(#REF!,"AAAAAF/vW7I=",0)</f>
        <v>#REF!</v>
      </c>
      <c r="FX4" t="e">
        <f>IF(#REF!,"AAAAAF/vW7M=",0)</f>
        <v>#REF!</v>
      </c>
      <c r="FY4" t="e">
        <f>IF(#REF!,"AAAAAF/vW7Q=",0)</f>
        <v>#REF!</v>
      </c>
      <c r="FZ4" t="e">
        <f>IF(#REF!,"AAAAAF/vW7U=",0)</f>
        <v>#REF!</v>
      </c>
      <c r="GA4" t="e">
        <f>IF(#REF!,"AAAAAF/vW7Y=",0)</f>
        <v>#REF!</v>
      </c>
      <c r="GB4" t="e">
        <f>IF(#REF!,"AAAAAF/vW7c=",0)</f>
        <v>#REF!</v>
      </c>
      <c r="GC4" t="e">
        <f>IF(#REF!,"AAAAAF/vW7g=",0)</f>
        <v>#REF!</v>
      </c>
      <c r="GD4" t="e">
        <f>IF(#REF!,"AAAAAF/vW7k=",0)</f>
        <v>#REF!</v>
      </c>
      <c r="GE4" t="e">
        <f>IF(#REF!,"AAAAAF/vW7o=",0)</f>
        <v>#REF!</v>
      </c>
      <c r="GF4" t="e">
        <f>IF(#REF!,"AAAAAF/vW7s=",0)</f>
        <v>#REF!</v>
      </c>
      <c r="GG4" t="e">
        <f>IF(#REF!,"AAAAAF/vW7w=",0)</f>
        <v>#REF!</v>
      </c>
      <c r="GH4" t="e">
        <f>IF(#REF!,"AAAAAF/vW70=",0)</f>
        <v>#REF!</v>
      </c>
      <c r="GI4" t="e">
        <f>IF(#REF!,"AAAAAF/vW74=",0)</f>
        <v>#REF!</v>
      </c>
      <c r="GJ4" t="e">
        <f>IF(#REF!,"AAAAAF/vW78=",0)</f>
        <v>#REF!</v>
      </c>
      <c r="GK4" t="e">
        <f>IF(#REF!,"AAAAAF/vW8A=",0)</f>
        <v>#REF!</v>
      </c>
      <c r="GL4" t="e">
        <f>IF(#REF!,"AAAAAF/vW8E=",0)</f>
        <v>#REF!</v>
      </c>
      <c r="GM4" t="e">
        <f>IF(#REF!,"AAAAAF/vW8I=",0)</f>
        <v>#REF!</v>
      </c>
      <c r="GN4" t="e">
        <f>IF(#REF!,"AAAAAF/vW8M=",0)</f>
        <v>#REF!</v>
      </c>
      <c r="GO4" t="e">
        <f>IF(#REF!,"AAAAAF/vW8Q=",0)</f>
        <v>#REF!</v>
      </c>
      <c r="GP4" t="e">
        <f>IF(#REF!,"AAAAAF/vW8U=",0)</f>
        <v>#REF!</v>
      </c>
      <c r="GQ4" t="e">
        <f>IF(#REF!,"AAAAAF/vW8Y=",0)</f>
        <v>#REF!</v>
      </c>
      <c r="GR4" t="e">
        <f>IF(#REF!,"AAAAAF/vW8c=",0)</f>
        <v>#REF!</v>
      </c>
      <c r="GS4" t="e">
        <f>IF(#REF!,"AAAAAF/vW8g=",0)</f>
        <v>#REF!</v>
      </c>
      <c r="GT4" t="e">
        <f>IF(#REF!,"AAAAAF/vW8k=",0)</f>
        <v>#REF!</v>
      </c>
      <c r="GU4" t="e">
        <f>IF(#REF!,"AAAAAF/vW8o=",0)</f>
        <v>#REF!</v>
      </c>
      <c r="GV4" t="e">
        <f>IF(#REF!,"AAAAAF/vW8s=",0)</f>
        <v>#REF!</v>
      </c>
      <c r="GW4" t="e">
        <f>IF(#REF!,"AAAAAF/vW8w=",0)</f>
        <v>#REF!</v>
      </c>
      <c r="GX4" t="e">
        <f>IF(#REF!,"AAAAAF/vW80=",0)</f>
        <v>#REF!</v>
      </c>
      <c r="GY4" t="e">
        <f>IF(#REF!,"AAAAAF/vW84=",0)</f>
        <v>#REF!</v>
      </c>
      <c r="GZ4" t="e">
        <f>IF(#REF!,"AAAAAF/vW88=",0)</f>
        <v>#REF!</v>
      </c>
      <c r="HA4" t="e">
        <f>IF(#REF!,"AAAAAF/vW9A=",0)</f>
        <v>#REF!</v>
      </c>
      <c r="HB4" t="e">
        <f>IF(#REF!,"AAAAAF/vW9E=",0)</f>
        <v>#REF!</v>
      </c>
      <c r="HC4" t="e">
        <f>IF(#REF!,"AAAAAF/vW9I=",0)</f>
        <v>#REF!</v>
      </c>
      <c r="HD4" t="e">
        <f>IF(#REF!,"AAAAAF/vW9M=",0)</f>
        <v>#REF!</v>
      </c>
      <c r="HE4" t="e">
        <f>IF(#REF!,"AAAAAF/vW9Q=",0)</f>
        <v>#REF!</v>
      </c>
      <c r="HF4" t="e">
        <f>IF(#REF!,"AAAAAF/vW9U=",0)</f>
        <v>#REF!</v>
      </c>
      <c r="HG4" t="e">
        <f>IF(#REF!,"AAAAAF/vW9Y=",0)</f>
        <v>#REF!</v>
      </c>
      <c r="HH4" t="e">
        <f>IF(#REF!,"AAAAAF/vW9c=",0)</f>
        <v>#REF!</v>
      </c>
      <c r="HI4" t="e">
        <f>IF(#REF!,"AAAAAF/vW9g=",0)</f>
        <v>#REF!</v>
      </c>
      <c r="HJ4" t="e">
        <f>IF(#REF!,"AAAAAF/vW9k=",0)</f>
        <v>#REF!</v>
      </c>
      <c r="HK4" t="e">
        <f>IF(#REF!,"AAAAAF/vW9o=",0)</f>
        <v>#REF!</v>
      </c>
      <c r="HL4" t="e">
        <f>IF(#REF!,"AAAAAF/vW9s=",0)</f>
        <v>#REF!</v>
      </c>
      <c r="HM4" t="e">
        <f>IF(#REF!,"AAAAAF/vW9w=",0)</f>
        <v>#REF!</v>
      </c>
      <c r="HN4" t="e">
        <f>IF(#REF!,"AAAAAF/vW90=",0)</f>
        <v>#REF!</v>
      </c>
      <c r="HO4" t="e">
        <f>IF(#REF!,"AAAAAF/vW94=",0)</f>
        <v>#REF!</v>
      </c>
      <c r="HP4" t="e">
        <f>IF(#REF!,"AAAAAF/vW98=",0)</f>
        <v>#REF!</v>
      </c>
      <c r="HQ4" t="e">
        <f>IF(#REF!,"AAAAAF/vW+A=",0)</f>
        <v>#REF!</v>
      </c>
      <c r="HR4" t="e">
        <f>IF(#REF!,"AAAAAF/vW+E=",0)</f>
        <v>#REF!</v>
      </c>
      <c r="HS4" t="e">
        <f>IF(#REF!,"AAAAAF/vW+I=",0)</f>
        <v>#REF!</v>
      </c>
      <c r="HT4" t="e">
        <f>IF(#REF!,"AAAAAF/vW+M=",0)</f>
        <v>#REF!</v>
      </c>
      <c r="HU4" t="e">
        <f>IF(#REF!,"AAAAAF/vW+Q=",0)</f>
        <v>#REF!</v>
      </c>
      <c r="HV4" t="e">
        <f>IF(#REF!,"AAAAAF/vW+U=",0)</f>
        <v>#REF!</v>
      </c>
      <c r="HW4" t="e">
        <f>IF(#REF!,"AAAAAF/vW+Y=",0)</f>
        <v>#REF!</v>
      </c>
      <c r="HX4" t="e">
        <f>IF(#REF!,"AAAAAF/vW+c=",0)</f>
        <v>#REF!</v>
      </c>
      <c r="HY4" t="e">
        <f>IF(#REF!,"AAAAAF/vW+g=",0)</f>
        <v>#REF!</v>
      </c>
      <c r="HZ4" t="e">
        <f>IF(#REF!,"AAAAAF/vW+k=",0)</f>
        <v>#REF!</v>
      </c>
      <c r="IA4" t="e">
        <f>IF(#REF!,"AAAAAF/vW+o=",0)</f>
        <v>#REF!</v>
      </c>
      <c r="IB4" t="e">
        <f>IF(#REF!,"AAAAAF/vW+s=",0)</f>
        <v>#REF!</v>
      </c>
      <c r="IC4" t="e">
        <f>IF(#REF!,"AAAAAF/vW+w=",0)</f>
        <v>#REF!</v>
      </c>
      <c r="ID4" t="e">
        <f>IF(#REF!,"AAAAAF/vW+0=",0)</f>
        <v>#REF!</v>
      </c>
      <c r="IE4" t="e">
        <f>IF(#REF!,"AAAAAF/vW+4=",0)</f>
        <v>#REF!</v>
      </c>
      <c r="IF4" t="e">
        <f>IF(#REF!,"AAAAAF/vW+8=",0)</f>
        <v>#REF!</v>
      </c>
      <c r="IG4" t="e">
        <f>IF(#REF!,"AAAAAF/vW/A=",0)</f>
        <v>#REF!</v>
      </c>
      <c r="IH4" t="e">
        <f>IF(#REF!,"AAAAAF/vW/E=",0)</f>
        <v>#REF!</v>
      </c>
      <c r="II4" t="e">
        <f>IF(#REF!,"AAAAAF/vW/I=",0)</f>
        <v>#REF!</v>
      </c>
      <c r="IJ4" t="e">
        <f>IF(#REF!,"AAAAAF/vW/M=",0)</f>
        <v>#REF!</v>
      </c>
      <c r="IK4" t="e">
        <f>IF(#REF!,"AAAAAF/vW/Q=",0)</f>
        <v>#REF!</v>
      </c>
      <c r="IL4" t="e">
        <f>IF(#REF!,"AAAAAF/vW/U=",0)</f>
        <v>#REF!</v>
      </c>
      <c r="IM4" t="e">
        <f>IF(#REF!,"AAAAAF/vW/Y=",0)</f>
        <v>#REF!</v>
      </c>
      <c r="IN4" t="e">
        <f>AND(#REF!,"AAAAAF/vW/c=")</f>
        <v>#REF!</v>
      </c>
      <c r="IO4" t="e">
        <f>AND(#REF!,"AAAAAF/vW/g=")</f>
        <v>#REF!</v>
      </c>
      <c r="IP4" t="e">
        <f>AND(#REF!,"AAAAAF/vW/k=")</f>
        <v>#REF!</v>
      </c>
      <c r="IQ4" t="e">
        <f>AND(#REF!,"AAAAAF/vW/o=")</f>
        <v>#REF!</v>
      </c>
      <c r="IR4" t="e">
        <f>AND(#REF!,"AAAAAF/vW/s=")</f>
        <v>#REF!</v>
      </c>
      <c r="IS4" t="e">
        <f>AND(#REF!,"AAAAAF/vW/w=")</f>
        <v>#REF!</v>
      </c>
      <c r="IT4" t="e">
        <f>IF(#REF!,"AAAAAF/vW/0=",0)</f>
        <v>#REF!</v>
      </c>
      <c r="IU4" t="e">
        <f>AND(#REF!,"AAAAAF/vW/4=")</f>
        <v>#REF!</v>
      </c>
      <c r="IV4" t="e">
        <f>AND(#REF!,"AAAAAF/vW/8=")</f>
        <v>#REF!</v>
      </c>
    </row>
    <row r="5" spans="1:256" ht="12.75">
      <c r="A5" t="e">
        <f>AND(#REF!,"AAAAAHJ36wA=")</f>
        <v>#REF!</v>
      </c>
      <c r="B5" t="e">
        <f>AND(#REF!,"AAAAAHJ36wE=")</f>
        <v>#REF!</v>
      </c>
      <c r="C5" t="e">
        <f>AND(#REF!,"AAAAAHJ36wI=")</f>
        <v>#REF!</v>
      </c>
      <c r="D5" t="e">
        <f>AND(#REF!,"AAAAAHJ36wM=")</f>
        <v>#REF!</v>
      </c>
      <c r="E5" t="e">
        <f>IF(#REF!,"AAAAAHJ36wQ=",0)</f>
        <v>#REF!</v>
      </c>
      <c r="F5" t="e">
        <f>AND(#REF!,"AAAAAHJ36wU=")</f>
        <v>#REF!</v>
      </c>
      <c r="G5" t="e">
        <f>AND(#REF!,"AAAAAHJ36wY=")</f>
        <v>#REF!</v>
      </c>
      <c r="H5" t="e">
        <f>AND(#REF!,"AAAAAHJ36wc=")</f>
        <v>#REF!</v>
      </c>
      <c r="I5" t="e">
        <f>AND(#REF!,"AAAAAHJ36wg=")</f>
        <v>#REF!</v>
      </c>
      <c r="J5" t="e">
        <f>AND(#REF!,"AAAAAHJ36wk=")</f>
        <v>#REF!</v>
      </c>
      <c r="K5" t="e">
        <f>AND(#REF!,"AAAAAHJ36wo=")</f>
        <v>#REF!</v>
      </c>
      <c r="L5" t="e">
        <f>IF(#REF!,"AAAAAHJ36ws=",0)</f>
        <v>#REF!</v>
      </c>
      <c r="M5" t="e">
        <f>AND(#REF!,"AAAAAHJ36ww=")</f>
        <v>#REF!</v>
      </c>
      <c r="N5" t="e">
        <f>AND(#REF!,"AAAAAHJ36w0=")</f>
        <v>#REF!</v>
      </c>
      <c r="O5" t="e">
        <f>AND(#REF!,"AAAAAHJ36w4=")</f>
        <v>#REF!</v>
      </c>
      <c r="P5" t="e">
        <f>AND(#REF!,"AAAAAHJ36w8=")</f>
        <v>#REF!</v>
      </c>
      <c r="Q5" t="e">
        <f>AND(#REF!,"AAAAAHJ36xA=")</f>
        <v>#REF!</v>
      </c>
      <c r="R5" t="e">
        <f>AND(#REF!,"AAAAAHJ36xE=")</f>
        <v>#REF!</v>
      </c>
      <c r="S5" t="e">
        <f>IF(#REF!,"AAAAAHJ36xI=",0)</f>
        <v>#REF!</v>
      </c>
      <c r="T5" t="e">
        <f>IF(#REF!,"AAAAAHJ36xM=",0)</f>
        <v>#REF!</v>
      </c>
      <c r="U5" t="e">
        <f>IF(#REF!,"AAAAAHJ36xQ=",0)</f>
        <v>#REF!</v>
      </c>
      <c r="V5" t="e">
        <f>IF(#REF!,"AAAAAHJ36xU=",0)</f>
        <v>#REF!</v>
      </c>
      <c r="W5" t="e">
        <f>IF(#REF!,"AAAAAHJ36xY=",0)</f>
        <v>#REF!</v>
      </c>
      <c r="X5" t="e">
        <f>IF(#REF!,"AAAAAHJ36xc=",0)</f>
        <v>#REF!</v>
      </c>
      <c r="Y5" t="e">
        <f>IF(#REF!,"AAAAAHJ36xg=",0)</f>
        <v>#REF!</v>
      </c>
      <c r="Z5" t="e">
        <f>IF(#REF!,"AAAAAHJ36xk=",0)</f>
        <v>#REF!</v>
      </c>
      <c r="AA5" t="e">
        <f>IF(#REF!,"AAAAAHJ36xo=",0)</f>
        <v>#REF!</v>
      </c>
      <c r="AB5" t="e">
        <f>IF(#REF!,"AAAAAHJ36xs=",0)</f>
        <v>#REF!</v>
      </c>
      <c r="AC5" t="e">
        <f>IF(#REF!,"AAAAAHJ36xw=",0)</f>
        <v>#REF!</v>
      </c>
      <c r="AD5" t="e">
        <f>IF(#REF!,"AAAAAHJ36x0=",0)</f>
        <v>#REF!</v>
      </c>
      <c r="AE5" t="e">
        <f>IF(#REF!,"AAAAAHJ36x4=",0)</f>
        <v>#REF!</v>
      </c>
      <c r="AF5" t="e">
        <f>IF(#REF!,"AAAAAHJ36x8=",0)</f>
        <v>#REF!</v>
      </c>
      <c r="AG5" t="e">
        <f>IF(#REF!,"AAAAAHJ36yA=",0)</f>
        <v>#REF!</v>
      </c>
      <c r="AH5" t="e">
        <f>IF(#REF!,"AAAAAHJ36yE=",0)</f>
        <v>#REF!</v>
      </c>
      <c r="AI5" t="e">
        <f>IF(#REF!,"AAAAAHJ36yI=",0)</f>
        <v>#REF!</v>
      </c>
      <c r="AJ5" t="e">
        <f>IF(#REF!,"AAAAAHJ36yM=",0)</f>
        <v>#REF!</v>
      </c>
      <c r="AK5" t="e">
        <f>IF(#REF!,"AAAAAHJ36yQ=",0)</f>
        <v>#REF!</v>
      </c>
      <c r="AL5" t="e">
        <f>IF(#REF!,"AAAAAHJ36yU=",0)</f>
        <v>#REF!</v>
      </c>
      <c r="AM5" t="e">
        <f>IF(#REF!,"AAAAAHJ36yY=",0)</f>
        <v>#REF!</v>
      </c>
      <c r="AN5" t="e">
        <f>IF(#REF!,"AAAAAHJ36yc=",0)</f>
        <v>#REF!</v>
      </c>
      <c r="AO5" t="e">
        <f>IF(#REF!,"AAAAAHJ36yg=",0)</f>
        <v>#REF!</v>
      </c>
      <c r="AP5" t="e">
        <f>IF(#REF!,"AAAAAHJ36yk=",0)</f>
        <v>#REF!</v>
      </c>
      <c r="AQ5" t="e">
        <f>IF(#REF!,"AAAAAHJ36yo=",0)</f>
        <v>#REF!</v>
      </c>
      <c r="AR5" t="e">
        <f>IF(#REF!,"AAAAAHJ36ys=",0)</f>
        <v>#REF!</v>
      </c>
      <c r="AS5" t="e">
        <f>IF(#REF!,"AAAAAHJ36yw=",0)</f>
        <v>#REF!</v>
      </c>
      <c r="AT5" t="e">
        <f>IF(#REF!,"AAAAAHJ36y0=",0)</f>
        <v>#REF!</v>
      </c>
      <c r="AU5" t="e">
        <f>IF(#REF!,"AAAAAHJ36y4=",0)</f>
        <v>#REF!</v>
      </c>
      <c r="AV5" t="e">
        <f>IF(#REF!,"AAAAAHJ36y8=",0)</f>
        <v>#REF!</v>
      </c>
      <c r="AW5" t="e">
        <f>IF(#REF!,"AAAAAHJ36zA=",0)</f>
        <v>#REF!</v>
      </c>
      <c r="AX5" t="e">
        <f>IF(#REF!,"AAAAAHJ36zE=",0)</f>
        <v>#REF!</v>
      </c>
      <c r="AY5" t="e">
        <f>IF(#REF!,"AAAAAHJ36zI=",0)</f>
        <v>#REF!</v>
      </c>
      <c r="AZ5" t="e">
        <f>IF(#REF!,"AAAAAHJ36zM=",0)</f>
        <v>#REF!</v>
      </c>
      <c r="BA5" t="e">
        <f>IF(#REF!,"AAAAAHJ36zQ=",0)</f>
        <v>#REF!</v>
      </c>
      <c r="BB5" t="e">
        <f>IF(#REF!,"AAAAAHJ36zU=",0)</f>
        <v>#REF!</v>
      </c>
      <c r="BC5" t="e">
        <f>IF(#REF!,"AAAAAHJ36zY=",0)</f>
        <v>#REF!</v>
      </c>
      <c r="BD5" t="e">
        <f>IF(#REF!,"AAAAAHJ36zc=",0)</f>
        <v>#REF!</v>
      </c>
      <c r="BE5" t="e">
        <f>IF(#REF!,"AAAAAHJ36zg=",0)</f>
        <v>#REF!</v>
      </c>
      <c r="BF5" t="e">
        <f>IF(#REF!,"AAAAAHJ36zk=",0)</f>
        <v>#REF!</v>
      </c>
      <c r="BG5" t="e">
        <f>IF(#REF!,"AAAAAHJ36zo=",0)</f>
        <v>#REF!</v>
      </c>
      <c r="BH5" t="e">
        <f>IF(#REF!,"AAAAAHJ36zs=",0)</f>
        <v>#REF!</v>
      </c>
      <c r="BI5" t="e">
        <f>IF(#REF!,"AAAAAHJ36zw=",0)</f>
        <v>#REF!</v>
      </c>
      <c r="BJ5" t="e">
        <f>IF(#REF!,"AAAAAHJ36z0=",0)</f>
        <v>#REF!</v>
      </c>
      <c r="BK5" t="e">
        <f>IF(#REF!,"AAAAAHJ36z4=",0)</f>
        <v>#REF!</v>
      </c>
      <c r="BL5" t="e">
        <f>IF(#REF!,"AAAAAHJ36z8=",0)</f>
        <v>#REF!</v>
      </c>
      <c r="BM5" t="e">
        <f>IF(#REF!,"AAAAAHJ360A=",0)</f>
        <v>#REF!</v>
      </c>
      <c r="BN5" t="e">
        <f>IF(#REF!,"AAAAAHJ360E=",0)</f>
        <v>#REF!</v>
      </c>
      <c r="BO5" t="e">
        <f>IF(#REF!,"AAAAAHJ360I=",0)</f>
        <v>#REF!</v>
      </c>
      <c r="BP5" t="e">
        <f>IF(#REF!,"AAAAAHJ360M=",0)</f>
        <v>#REF!</v>
      </c>
      <c r="BQ5" t="e">
        <f>IF(#REF!,"AAAAAHJ360Q=",0)</f>
        <v>#REF!</v>
      </c>
      <c r="BR5" t="e">
        <f>IF(#REF!,"AAAAAHJ360U=",0)</f>
        <v>#REF!</v>
      </c>
      <c r="BS5" t="e">
        <f>IF(#REF!,"AAAAAHJ360Y=",0)</f>
        <v>#REF!</v>
      </c>
      <c r="BT5" t="e">
        <f>IF(#REF!,"AAAAAHJ360c=",0)</f>
        <v>#REF!</v>
      </c>
      <c r="BU5" t="e">
        <f>IF(#REF!,"AAAAAHJ360g=",0)</f>
        <v>#REF!</v>
      </c>
      <c r="BV5" t="e">
        <f>IF(#REF!,"AAAAAHJ360k=",0)</f>
        <v>#REF!</v>
      </c>
      <c r="BW5" t="e">
        <f>IF(#REF!,"AAAAAHJ360o=",0)</f>
        <v>#REF!</v>
      </c>
      <c r="BX5" t="e">
        <f>IF(#REF!,"AAAAAHJ360s=",0)</f>
        <v>#REF!</v>
      </c>
      <c r="BY5" t="e">
        <f>IF(#REF!,"AAAAAHJ360w=",0)</f>
        <v>#REF!</v>
      </c>
      <c r="BZ5" t="e">
        <f>IF(#REF!,"AAAAAHJ3600=",0)</f>
        <v>#REF!</v>
      </c>
      <c r="CA5" t="e">
        <f>IF(#REF!,"AAAAAHJ3604=",0)</f>
        <v>#REF!</v>
      </c>
      <c r="CB5" t="e">
        <f>IF(#REF!,"AAAAAHJ3608=",0)</f>
        <v>#REF!</v>
      </c>
      <c r="CC5" t="e">
        <f>IF(#REF!,"AAAAAHJ361A=",0)</f>
        <v>#REF!</v>
      </c>
      <c r="CD5" t="e">
        <f>IF(#REF!,"AAAAAHJ361E=",0)</f>
        <v>#REF!</v>
      </c>
      <c r="CE5" t="e">
        <f>IF(#REF!,"AAAAAHJ361I=",0)</f>
        <v>#REF!</v>
      </c>
      <c r="CF5" t="e">
        <f>IF(#REF!,"AAAAAHJ361M=",0)</f>
        <v>#REF!</v>
      </c>
      <c r="CG5" t="e">
        <f>IF(#REF!,"AAAAAHJ361Q=",0)</f>
        <v>#REF!</v>
      </c>
      <c r="CH5" t="e">
        <f>IF(#REF!,"AAAAAHJ361U=",0)</f>
        <v>#REF!</v>
      </c>
      <c r="CI5" t="e">
        <f>IF(#REF!,"AAAAAHJ361Y=",0)</f>
        <v>#REF!</v>
      </c>
      <c r="CJ5" t="e">
        <f>IF(#REF!,"AAAAAHJ361c=",0)</f>
        <v>#REF!</v>
      </c>
      <c r="CK5" t="e">
        <f>IF(#REF!,"AAAAAHJ361g=",0)</f>
        <v>#REF!</v>
      </c>
      <c r="CL5" t="e">
        <f>IF(#REF!,"AAAAAHJ361k=",0)</f>
        <v>#REF!</v>
      </c>
      <c r="CM5" t="e">
        <f>IF(#REF!,"AAAAAHJ361o=",0)</f>
        <v>#REF!</v>
      </c>
      <c r="CN5" t="e">
        <f>IF(#REF!,"AAAAAHJ361s=",0)</f>
        <v>#REF!</v>
      </c>
      <c r="CO5" t="e">
        <f>IF(#REF!,"AAAAAHJ361w=",0)</f>
        <v>#REF!</v>
      </c>
      <c r="CP5" t="e">
        <f>IF(#REF!,"AAAAAHJ3610=",0)</f>
        <v>#REF!</v>
      </c>
      <c r="CQ5" t="e">
        <f>IF(#REF!,"AAAAAHJ3614=",0)</f>
        <v>#REF!</v>
      </c>
      <c r="CR5" t="e">
        <f>IF(#REF!,"AAAAAHJ3618=",0)</f>
        <v>#REF!</v>
      </c>
      <c r="CS5" t="e">
        <f>IF(#REF!,"AAAAAHJ362A=",0)</f>
        <v>#REF!</v>
      </c>
      <c r="CT5" t="e">
        <f>IF(#REF!,"AAAAAHJ362E=",0)</f>
        <v>#REF!</v>
      </c>
      <c r="CU5" t="e">
        <f>IF(#REF!,"AAAAAHJ362I=",0)</f>
        <v>#REF!</v>
      </c>
      <c r="CV5" t="e">
        <f>IF(#REF!,"AAAAAHJ362M=",0)</f>
        <v>#REF!</v>
      </c>
      <c r="CW5" t="e">
        <f>IF(#REF!,"AAAAAHJ362Q=",0)</f>
        <v>#REF!</v>
      </c>
      <c r="CX5" t="e">
        <f>IF(#REF!,"AAAAAHJ362U=",0)</f>
        <v>#REF!</v>
      </c>
      <c r="CY5" t="e">
        <f>IF(#REF!,"AAAAAHJ362Y=",0)</f>
        <v>#REF!</v>
      </c>
      <c r="CZ5" t="e">
        <f>IF(#REF!,"AAAAAHJ362c=",0)</f>
        <v>#REF!</v>
      </c>
      <c r="DA5" t="e">
        <f>IF(#REF!,"AAAAAHJ362g=",0)</f>
        <v>#REF!</v>
      </c>
      <c r="DB5" t="e">
        <f>IF(#REF!,"AAAAAHJ362k=",0)</f>
        <v>#REF!</v>
      </c>
      <c r="DC5" t="e">
        <f>IF(#REF!,"AAAAAHJ362o=",0)</f>
        <v>#REF!</v>
      </c>
      <c r="DD5" t="e">
        <f>IF(#REF!,"AAAAAHJ362s=",0)</f>
        <v>#REF!</v>
      </c>
      <c r="DE5" t="e">
        <f>IF(#REF!,"AAAAAHJ362w=",0)</f>
        <v>#REF!</v>
      </c>
      <c r="DF5" t="e">
        <f>IF(#REF!,"AAAAAHJ3620=",0)</f>
        <v>#REF!</v>
      </c>
      <c r="DG5" t="e">
        <f>IF(#REF!,"AAAAAHJ3624=",0)</f>
        <v>#REF!</v>
      </c>
      <c r="DH5" t="e">
        <f>IF(#REF!,"AAAAAHJ3628=",0)</f>
        <v>#REF!</v>
      </c>
      <c r="DI5" t="e">
        <f>IF(#REF!,"AAAAAHJ363A=",0)</f>
        <v>#REF!</v>
      </c>
      <c r="DJ5" t="e">
        <f>IF(#REF!,"AAAAAHJ363E=",0)</f>
        <v>#REF!</v>
      </c>
      <c r="DK5" t="e">
        <f>IF(#REF!,"AAAAAHJ363I=",0)</f>
        <v>#REF!</v>
      </c>
      <c r="DL5" t="e">
        <f>IF(#REF!,"AAAAAHJ363M=",0)</f>
        <v>#REF!</v>
      </c>
      <c r="DM5" t="e">
        <f>IF(#REF!,"AAAAAHJ363Q=",0)</f>
        <v>#REF!</v>
      </c>
      <c r="DN5" t="e">
        <f>IF(#REF!,"AAAAAHJ363U=",0)</f>
        <v>#REF!</v>
      </c>
      <c r="DO5" t="e">
        <f>IF(#REF!,"AAAAAHJ363Y=",0)</f>
        <v>#REF!</v>
      </c>
      <c r="DP5" t="e">
        <f>IF(#REF!,"AAAAAHJ363c=",0)</f>
        <v>#REF!</v>
      </c>
      <c r="DQ5" t="e">
        <f>IF(#REF!,"AAAAAHJ363g=",0)</f>
        <v>#REF!</v>
      </c>
      <c r="DR5" t="e">
        <f>IF(#REF!,"AAAAAHJ363k=",0)</f>
        <v>#REF!</v>
      </c>
      <c r="DS5" t="e">
        <f>IF(#REF!,"AAAAAHJ363o=",0)</f>
        <v>#REF!</v>
      </c>
      <c r="DT5" t="e">
        <f>IF(#REF!,"AAAAAHJ363s=",0)</f>
        <v>#REF!</v>
      </c>
      <c r="DU5" t="e">
        <f>IF(#REF!,"AAAAAHJ363w=",0)</f>
        <v>#REF!</v>
      </c>
      <c r="DV5" t="e">
        <f>IF(#REF!,"AAAAAHJ3630=",0)</f>
        <v>#REF!</v>
      </c>
      <c r="DW5" t="e">
        <f>IF(#REF!,"AAAAAHJ3634=",0)</f>
        <v>#REF!</v>
      </c>
      <c r="DX5" t="e">
        <f>IF(#REF!,"AAAAAHJ3638=",0)</f>
        <v>#REF!</v>
      </c>
      <c r="DY5" t="e">
        <f>IF(#REF!,"AAAAAHJ364A=",0)</f>
        <v>#REF!</v>
      </c>
      <c r="DZ5" t="e">
        <f>IF(#REF!,"AAAAAHJ364E=",0)</f>
        <v>#REF!</v>
      </c>
      <c r="EA5" t="e">
        <f>IF(#REF!,"AAAAAHJ364I=",0)</f>
        <v>#REF!</v>
      </c>
      <c r="EB5" t="e">
        <f>IF(#REF!,"AAAAAHJ364M=",0)</f>
        <v>#REF!</v>
      </c>
      <c r="EC5" t="e">
        <f>IF(#REF!,"AAAAAHJ364Q=",0)</f>
        <v>#REF!</v>
      </c>
      <c r="ED5" t="e">
        <f>IF(#REF!,"AAAAAHJ364U=",0)</f>
        <v>#REF!</v>
      </c>
      <c r="EE5" t="e">
        <f>IF(#REF!,"AAAAAHJ364Y=",0)</f>
        <v>#REF!</v>
      </c>
      <c r="EF5" t="e">
        <f>IF(#REF!,"AAAAAHJ364c=",0)</f>
        <v>#REF!</v>
      </c>
      <c r="EG5" t="e">
        <f>IF(#REF!,"AAAAAHJ364g=",0)</f>
        <v>#REF!</v>
      </c>
      <c r="EH5" t="e">
        <f>IF(#REF!,"AAAAAHJ364k=",0)</f>
        <v>#REF!</v>
      </c>
      <c r="EI5" t="e">
        <f>IF(#REF!,"AAAAAHJ364o=",0)</f>
        <v>#REF!</v>
      </c>
      <c r="EJ5" t="e">
        <f>IF(#REF!,"AAAAAHJ364s=",0)</f>
        <v>#REF!</v>
      </c>
      <c r="EK5" t="e">
        <f>IF(#REF!,"AAAAAHJ364w=",0)</f>
        <v>#REF!</v>
      </c>
      <c r="EL5" t="e">
        <f>IF(#REF!,"AAAAAHJ3640=",0)</f>
        <v>#REF!</v>
      </c>
      <c r="EM5" t="e">
        <f>IF(#REF!,"AAAAAHJ3644=",0)</f>
        <v>#REF!</v>
      </c>
      <c r="EN5" t="e">
        <f>IF(#REF!,"AAAAAHJ3648=",0)</f>
        <v>#REF!</v>
      </c>
      <c r="EO5" t="e">
        <f>IF(#REF!,"AAAAAHJ365A=",0)</f>
        <v>#REF!</v>
      </c>
      <c r="EP5" t="e">
        <f>IF(#REF!,"AAAAAHJ365E=",0)</f>
        <v>#REF!</v>
      </c>
      <c r="EQ5" t="e">
        <f>IF(#REF!,"AAAAAHJ365I=",0)</f>
        <v>#REF!</v>
      </c>
      <c r="ER5" t="e">
        <f>IF(#REF!,"AAAAAHJ365M=",0)</f>
        <v>#REF!</v>
      </c>
      <c r="ES5" t="e">
        <f>IF(#REF!,"AAAAAHJ365Q=",0)</f>
        <v>#REF!</v>
      </c>
      <c r="ET5" t="e">
        <f>IF(#REF!,"AAAAAHJ365U=",0)</f>
        <v>#REF!</v>
      </c>
      <c r="EU5" t="e">
        <f>IF(#REF!,"AAAAAHJ365Y=",0)</f>
        <v>#REF!</v>
      </c>
      <c r="EV5" t="e">
        <f>IF(#REF!,"AAAAAHJ365c=",0)</f>
        <v>#REF!</v>
      </c>
      <c r="EW5" t="e">
        <f>IF(#REF!,"AAAAAHJ365g=",0)</f>
        <v>#REF!</v>
      </c>
      <c r="EX5" t="e">
        <f>IF(#REF!,"AAAAAHJ365k=",0)</f>
        <v>#REF!</v>
      </c>
      <c r="EY5" t="e">
        <f>IF(#REF!,"AAAAAHJ365o=",0)</f>
        <v>#REF!</v>
      </c>
      <c r="EZ5" t="e">
        <f>IF(#REF!,"AAAAAHJ365s=",0)</f>
        <v>#REF!</v>
      </c>
      <c r="FA5" t="e">
        <f>IF(#REF!,"AAAAAHJ365w=",0)</f>
        <v>#REF!</v>
      </c>
      <c r="FB5" t="e">
        <f>IF(#REF!,"AAAAAHJ3650=",0)</f>
        <v>#REF!</v>
      </c>
      <c r="FC5" t="e">
        <f>IF(#REF!,"AAAAAHJ3654=",0)</f>
        <v>#REF!</v>
      </c>
      <c r="FD5" t="e">
        <f>IF(#REF!,"AAAAAHJ3658=",0)</f>
        <v>#REF!</v>
      </c>
      <c r="FE5" t="e">
        <f>IF(#REF!,"AAAAAHJ366A=",0)</f>
        <v>#REF!</v>
      </c>
      <c r="FF5" t="e">
        <f>IF(#REF!,"AAAAAHJ366E=",0)</f>
        <v>#REF!</v>
      </c>
      <c r="FG5" t="e">
        <f>IF(#REF!,"AAAAAHJ366I=",0)</f>
        <v>#REF!</v>
      </c>
      <c r="FH5" t="e">
        <f>IF(#REF!,"AAAAAHJ366M=",0)</f>
        <v>#REF!</v>
      </c>
      <c r="FI5" t="e">
        <f>IF(#REF!,"AAAAAHJ366Q=",0)</f>
        <v>#REF!</v>
      </c>
      <c r="FJ5" t="e">
        <f>IF(#REF!,"AAAAAHJ366U=",0)</f>
        <v>#REF!</v>
      </c>
      <c r="FK5" t="e">
        <f>IF(#REF!,"AAAAAHJ366Y=",0)</f>
        <v>#REF!</v>
      </c>
      <c r="FL5" t="e">
        <f>IF(#REF!,"AAAAAHJ366c=",0)</f>
        <v>#REF!</v>
      </c>
      <c r="FM5" t="e">
        <f>IF(#REF!,"AAAAAHJ366g=",0)</f>
        <v>#REF!</v>
      </c>
      <c r="FN5" t="e">
        <f>IF(#REF!,"AAAAAHJ366k=",0)</f>
        <v>#REF!</v>
      </c>
      <c r="FO5" t="e">
        <f>IF(#REF!,"AAAAAHJ366o=",0)</f>
        <v>#REF!</v>
      </c>
      <c r="FP5" t="e">
        <f>IF(#REF!,"AAAAAHJ366s=",0)</f>
        <v>#REF!</v>
      </c>
      <c r="FQ5" t="e">
        <f>IF(#REF!,"AAAAAHJ366w=",0)</f>
        <v>#REF!</v>
      </c>
      <c r="FR5" t="e">
        <f>IF(#REF!,"AAAAAHJ3660=",0)</f>
        <v>#REF!</v>
      </c>
      <c r="FS5" t="e">
        <f>IF(#REF!,"AAAAAHJ3664=",0)</f>
        <v>#REF!</v>
      </c>
      <c r="FT5" t="e">
        <f>IF(#REF!,"AAAAAHJ3668=",0)</f>
        <v>#REF!</v>
      </c>
      <c r="FU5" t="e">
        <f>IF(#REF!,"AAAAAHJ367A=",0)</f>
        <v>#REF!</v>
      </c>
      <c r="FV5" t="e">
        <f>IF(#REF!,"AAAAAHJ367E=",0)</f>
        <v>#REF!</v>
      </c>
      <c r="FW5" t="e">
        <f>IF(#REF!,"AAAAAHJ367I=",0)</f>
        <v>#REF!</v>
      </c>
      <c r="FX5" t="e">
        <f>IF(#REF!,"AAAAAHJ367M=",0)</f>
        <v>#REF!</v>
      </c>
      <c r="FY5" t="e">
        <f>IF(#REF!,"AAAAAHJ367Q=",0)</f>
        <v>#REF!</v>
      </c>
      <c r="FZ5" t="e">
        <f>IF(#REF!,"AAAAAHJ367U=",0)</f>
        <v>#REF!</v>
      </c>
      <c r="GA5" t="e">
        <f>IF(#REF!,"AAAAAHJ367Y=",0)</f>
        <v>#REF!</v>
      </c>
      <c r="GB5" t="e">
        <f>IF(#REF!,"AAAAAHJ367c=",0)</f>
        <v>#REF!</v>
      </c>
      <c r="GC5" t="e">
        <f>IF(#REF!,"AAAAAHJ367g=",0)</f>
        <v>#REF!</v>
      </c>
      <c r="GD5" t="e">
        <f>IF(#REF!,"AAAAAHJ367k=",0)</f>
        <v>#REF!</v>
      </c>
      <c r="GE5" t="e">
        <f>IF(#REF!,"AAAAAHJ367o=",0)</f>
        <v>#REF!</v>
      </c>
      <c r="GF5" t="e">
        <f>IF(#REF!,"AAAAAHJ367s=",0)</f>
        <v>#REF!</v>
      </c>
      <c r="GG5" t="e">
        <f>IF(#REF!,"AAAAAHJ367w=",0)</f>
        <v>#REF!</v>
      </c>
      <c r="GH5" t="e">
        <f>IF(#REF!,"AAAAAHJ3670=",0)</f>
        <v>#REF!</v>
      </c>
      <c r="GI5" t="e">
        <f>IF(#REF!,"AAAAAHJ3674=",0)</f>
        <v>#REF!</v>
      </c>
      <c r="GJ5" t="e">
        <f>IF(#REF!,"AAAAAHJ3678=",0)</f>
        <v>#REF!</v>
      </c>
      <c r="GK5" t="e">
        <f>IF(#REF!,"AAAAAHJ368A=",0)</f>
        <v>#REF!</v>
      </c>
      <c r="GL5" t="e">
        <f>IF(#REF!,"AAAAAHJ368E=",0)</f>
        <v>#REF!</v>
      </c>
      <c r="GM5" t="e">
        <f>IF(#REF!,"AAAAAHJ368I=",0)</f>
        <v>#REF!</v>
      </c>
      <c r="GN5" t="e">
        <f>IF(#REF!,"AAAAAHJ368M=",0)</f>
        <v>#REF!</v>
      </c>
      <c r="GO5" t="e">
        <f>IF(#REF!,"AAAAAHJ368Q=",0)</f>
        <v>#REF!</v>
      </c>
      <c r="GP5" t="e">
        <f>IF(#REF!,"AAAAAHJ368U=",0)</f>
        <v>#REF!</v>
      </c>
      <c r="GQ5" t="e">
        <f>IF(#REF!,"AAAAAHJ368Y=",0)</f>
        <v>#REF!</v>
      </c>
      <c r="GR5" t="e">
        <f>IF(#REF!,"AAAAAHJ368c=",0)</f>
        <v>#REF!</v>
      </c>
      <c r="GS5" t="e">
        <f>IF(#REF!,"AAAAAHJ368g=",0)</f>
        <v>#REF!</v>
      </c>
      <c r="GT5" t="e">
        <f>IF(#REF!,"AAAAAHJ368k=",0)</f>
        <v>#REF!</v>
      </c>
      <c r="GU5" t="e">
        <f>IF(#REF!,"AAAAAHJ368o=",0)</f>
        <v>#REF!</v>
      </c>
      <c r="GV5" t="e">
        <f>IF(#REF!,"AAAAAHJ368s=",0)</f>
        <v>#REF!</v>
      </c>
      <c r="GW5" t="e">
        <f>IF(#REF!,"AAAAAHJ368w=",0)</f>
        <v>#REF!</v>
      </c>
      <c r="GX5" t="e">
        <f>IF(#REF!,"AAAAAHJ3680=",0)</f>
        <v>#REF!</v>
      </c>
      <c r="GY5" t="e">
        <f>IF(#REF!,"AAAAAHJ3684=",0)</f>
        <v>#REF!</v>
      </c>
      <c r="GZ5" t="e">
        <f>IF(#REF!,"AAAAAHJ3688=",0)</f>
        <v>#REF!</v>
      </c>
      <c r="HA5" t="e">
        <f>IF(#REF!,"AAAAAHJ369A=",0)</f>
        <v>#REF!</v>
      </c>
      <c r="HB5" t="e">
        <f>IF(#REF!,"AAAAAHJ369E=",0)</f>
        <v>#REF!</v>
      </c>
      <c r="HC5" t="e">
        <f>IF(#REF!,"AAAAAHJ369I=",0)</f>
        <v>#REF!</v>
      </c>
      <c r="HD5" t="e">
        <f>IF(#REF!,"AAAAAHJ369M=",0)</f>
        <v>#REF!</v>
      </c>
      <c r="HE5" t="e">
        <f>IF(#REF!,"AAAAAHJ369Q=",0)</f>
        <v>#REF!</v>
      </c>
      <c r="HF5" t="e">
        <f>IF(#REF!,"AAAAAHJ369U=",0)</f>
        <v>#REF!</v>
      </c>
      <c r="HG5" t="e">
        <f>IF(#REF!,"AAAAAHJ369Y=",0)</f>
        <v>#REF!</v>
      </c>
      <c r="HH5" t="e">
        <f>IF(#REF!,"AAAAAHJ369c=",0)</f>
        <v>#REF!</v>
      </c>
      <c r="HI5" t="e">
        <f>IF(#REF!,"AAAAAHJ369g=",0)</f>
        <v>#REF!</v>
      </c>
      <c r="HJ5" t="e">
        <f>IF(#REF!,"AAAAAHJ369k=",0)</f>
        <v>#REF!</v>
      </c>
      <c r="HK5" t="e">
        <f>IF(#REF!,"AAAAAHJ369o=",0)</f>
        <v>#REF!</v>
      </c>
      <c r="HL5" t="e">
        <f>IF(#REF!,"AAAAAHJ369s=",0)</f>
        <v>#REF!</v>
      </c>
      <c r="HM5" t="e">
        <f>IF(#REF!,"AAAAAHJ369w=",0)</f>
        <v>#REF!</v>
      </c>
      <c r="HN5" t="e">
        <f>IF(#REF!,"AAAAAHJ3690=",0)</f>
        <v>#REF!</v>
      </c>
      <c r="HO5" t="e">
        <f>IF(#REF!,"AAAAAHJ3694=",0)</f>
        <v>#REF!</v>
      </c>
      <c r="HP5" t="e">
        <f>IF(#REF!,"AAAAAHJ3698=",0)</f>
        <v>#REF!</v>
      </c>
      <c r="HQ5" t="e">
        <f>IF(#REF!,"AAAAAHJ36+A=",0)</f>
        <v>#REF!</v>
      </c>
      <c r="HR5" t="e">
        <f>IF(#REF!,"AAAAAHJ36+E=",0)</f>
        <v>#REF!</v>
      </c>
      <c r="HS5" t="e">
        <f>IF(#REF!,"AAAAAHJ36+I=",0)</f>
        <v>#REF!</v>
      </c>
      <c r="HT5" t="e">
        <f>IF(#REF!,"AAAAAHJ36+M=",0)</f>
        <v>#REF!</v>
      </c>
      <c r="HU5" t="e">
        <f>IF(#REF!,"AAAAAHJ36+Q=",0)</f>
        <v>#REF!</v>
      </c>
      <c r="HV5" t="e">
        <f>IF(#REF!,"AAAAAHJ36+U=",0)</f>
        <v>#REF!</v>
      </c>
      <c r="HW5" t="e">
        <f>IF(#REF!,"AAAAAHJ36+Y=",0)</f>
        <v>#REF!</v>
      </c>
      <c r="HX5" t="e">
        <f>IF(#REF!,"AAAAAHJ36+c=",0)</f>
        <v>#REF!</v>
      </c>
      <c r="HY5" t="e">
        <f>IF(#REF!,"AAAAAHJ36+g=",0)</f>
        <v>#REF!</v>
      </c>
      <c r="HZ5" t="e">
        <f>IF(#REF!,"AAAAAHJ36+k=",0)</f>
        <v>#REF!</v>
      </c>
      <c r="IA5" t="e">
        <f>IF(#REF!,"AAAAAHJ36+o=",0)</f>
        <v>#REF!</v>
      </c>
      <c r="IB5" t="e">
        <f>IF(#REF!,"AAAAAHJ36+s=",0)</f>
        <v>#REF!</v>
      </c>
      <c r="IC5" t="e">
        <f>IF(#REF!,"AAAAAHJ36+w=",0)</f>
        <v>#REF!</v>
      </c>
      <c r="ID5" t="e">
        <f>IF(#REF!,"AAAAAHJ36+0=",0)</f>
        <v>#REF!</v>
      </c>
      <c r="IE5" t="e">
        <f>IF(#REF!,"AAAAAHJ36+4=",0)</f>
        <v>#REF!</v>
      </c>
      <c r="IF5" t="e">
        <f>IF(#REF!,"AAAAAHJ36+8=",0)</f>
        <v>#REF!</v>
      </c>
      <c r="IG5" t="e">
        <f>IF(#REF!,"AAAAAHJ36/A=",0)</f>
        <v>#REF!</v>
      </c>
      <c r="IH5" t="e">
        <f>IF(#REF!,"AAAAAHJ36/E=",0)</f>
        <v>#REF!</v>
      </c>
      <c r="II5" t="e">
        <f>IF(#REF!,"AAAAAHJ36/I=",0)</f>
        <v>#REF!</v>
      </c>
      <c r="IJ5" t="e">
        <f>IF(#REF!,"AAAAAHJ36/M=",0)</f>
        <v>#REF!</v>
      </c>
      <c r="IK5" t="e">
        <f>IF(#REF!,"AAAAAHJ36/Q=",0)</f>
        <v>#REF!</v>
      </c>
      <c r="IL5" t="e">
        <f>IF(#REF!,"AAAAAHJ36/U=",0)</f>
        <v>#REF!</v>
      </c>
      <c r="IM5" t="e">
        <f>IF(#REF!,"AAAAAHJ36/Y=",0)</f>
        <v>#REF!</v>
      </c>
      <c r="IN5" t="e">
        <f>IF(#REF!,"AAAAAHJ36/c=",0)</f>
        <v>#REF!</v>
      </c>
      <c r="IO5" t="e">
        <f>IF(#REF!,"AAAAAHJ36/g=",0)</f>
        <v>#REF!</v>
      </c>
      <c r="IP5" t="e">
        <f>IF(#REF!,"AAAAAHJ36/k=",0)</f>
        <v>#REF!</v>
      </c>
      <c r="IQ5" t="e">
        <f>IF(#REF!,"AAAAAHJ36/o=",0)</f>
        <v>#REF!</v>
      </c>
      <c r="IR5" t="e">
        <f>IF(#REF!,"AAAAAHJ36/s=",0)</f>
        <v>#REF!</v>
      </c>
      <c r="IS5" t="e">
        <f>IF(#REF!,"AAAAAHJ36/w=",0)</f>
        <v>#REF!</v>
      </c>
      <c r="IT5" t="e">
        <f>IF(#REF!,"AAAAAHJ36/0=",0)</f>
        <v>#REF!</v>
      </c>
      <c r="IU5" t="e">
        <f>IF(#REF!,"AAAAAHJ36/4=",0)</f>
        <v>#REF!</v>
      </c>
      <c r="IV5" t="e">
        <f>IF(#REF!,"AAAAAHJ36/8=",0)</f>
        <v>#REF!</v>
      </c>
    </row>
    <row r="6" spans="1:256" ht="12.75">
      <c r="A6" t="e">
        <f>IF(#REF!,"AAAAAHePfQA=",0)</f>
        <v>#REF!</v>
      </c>
      <c r="B6" t="e">
        <f>IF(#REF!,"AAAAAHePfQE=",0)</f>
        <v>#REF!</v>
      </c>
      <c r="C6" t="e">
        <f>IF(#REF!,"AAAAAHePfQI=",0)</f>
        <v>#REF!</v>
      </c>
      <c r="D6" t="e">
        <f>IF(#REF!,"AAAAAHePfQM=",0)</f>
        <v>#REF!</v>
      </c>
      <c r="E6" t="e">
        <f>IF(#REF!,"AAAAAHePfQQ=",0)</f>
        <v>#REF!</v>
      </c>
      <c r="F6" t="e">
        <f>IF(#REF!,"AAAAAHePfQU=",0)</f>
        <v>#REF!</v>
      </c>
      <c r="G6" t="e">
        <f>IF(#REF!,"AAAAAHePfQY=",0)</f>
        <v>#REF!</v>
      </c>
      <c r="H6" t="e">
        <f>IF(#REF!,"AAAAAHePfQc=",0)</f>
        <v>#REF!</v>
      </c>
      <c r="I6" t="e">
        <f>IF(#REF!,"AAAAAHePfQg=",0)</f>
        <v>#REF!</v>
      </c>
      <c r="J6" t="e">
        <f>IF(#REF!,"AAAAAHePfQk=",0)</f>
        <v>#REF!</v>
      </c>
      <c r="K6" t="e">
        <f>IF(#REF!,"AAAAAHePfQo=",0)</f>
        <v>#REF!</v>
      </c>
      <c r="L6" t="e">
        <f>IF(#REF!,"AAAAAHePfQs=",0)</f>
        <v>#REF!</v>
      </c>
      <c r="M6" t="e">
        <f>IF(#REF!,"AAAAAHePfQw=",0)</f>
        <v>#REF!</v>
      </c>
      <c r="N6" t="e">
        <f>IF(#REF!,"AAAAAHePfQ0=",0)</f>
        <v>#REF!</v>
      </c>
      <c r="O6" t="e">
        <f>IF(#REF!,"AAAAAHePfQ4=",0)</f>
        <v>#REF!</v>
      </c>
      <c r="P6" t="e">
        <f>IF(#REF!,"AAAAAHePfQ8=",0)</f>
        <v>#REF!</v>
      </c>
      <c r="Q6" t="e">
        <f>IF(#REF!,"AAAAAHePfRA=",0)</f>
        <v>#REF!</v>
      </c>
      <c r="R6" t="e">
        <f>IF(#REF!,"AAAAAHePfRE=",0)</f>
        <v>#REF!</v>
      </c>
      <c r="S6" t="e">
        <f>IF(#REF!,"AAAAAHePfRI=",0)</f>
        <v>#REF!</v>
      </c>
      <c r="T6" t="e">
        <f>IF(#REF!,"AAAAAHePfRM=",0)</f>
        <v>#REF!</v>
      </c>
      <c r="U6" t="e">
        <f>IF(#REF!,"AAAAAHePfRQ=",0)</f>
        <v>#REF!</v>
      </c>
      <c r="V6" t="e">
        <f>IF(#REF!,"AAAAAHePfRU=",0)</f>
        <v>#REF!</v>
      </c>
      <c r="W6" t="e">
        <f>IF(#REF!,"AAAAAHePfRY=",0)</f>
        <v>#REF!</v>
      </c>
      <c r="X6" t="e">
        <f>IF(#REF!,"AAAAAHePfRc=",0)</f>
        <v>#REF!</v>
      </c>
      <c r="Y6" t="e">
        <f>IF(#REF!,"AAAAAHePfRg=",0)</f>
        <v>#REF!</v>
      </c>
      <c r="Z6" t="e">
        <f>IF(#REF!,"AAAAAHePfRk=",0)</f>
        <v>#REF!</v>
      </c>
      <c r="AA6" t="e">
        <f>IF(#REF!,"AAAAAHePfRo=",0)</f>
        <v>#REF!</v>
      </c>
      <c r="AB6" t="e">
        <f>IF(#REF!,"AAAAAHePfRs=",0)</f>
        <v>#REF!</v>
      </c>
      <c r="AC6" t="e">
        <f>IF(#REF!,"AAAAAHePfRw=",0)</f>
        <v>#REF!</v>
      </c>
      <c r="AD6" t="e">
        <f>IF(#REF!,"AAAAAHePfR0=",0)</f>
        <v>#REF!</v>
      </c>
      <c r="AE6" t="e">
        <f>IF(#REF!,"AAAAAHePfR4=",0)</f>
        <v>#REF!</v>
      </c>
      <c r="AF6" t="e">
        <f>IF(#REF!,"AAAAAHePfR8=",0)</f>
        <v>#REF!</v>
      </c>
      <c r="AG6" t="e">
        <f>IF(#REF!,"AAAAAHePfSA=",0)</f>
        <v>#REF!</v>
      </c>
      <c r="AH6" t="e">
        <f>IF(#REF!,"AAAAAHePfSE=",0)</f>
        <v>#REF!</v>
      </c>
      <c r="AI6" t="e">
        <f>IF(#REF!,"AAAAAHePfSI=",0)</f>
        <v>#REF!</v>
      </c>
      <c r="AJ6" t="e">
        <f>IF(#REF!,"AAAAAHePfSM=",0)</f>
        <v>#REF!</v>
      </c>
      <c r="AK6" t="e">
        <f>IF(#REF!,"AAAAAHePfSQ=",0)</f>
        <v>#REF!</v>
      </c>
      <c r="AL6" t="e">
        <f>IF(#REF!,"AAAAAHePfSU=",0)</f>
        <v>#REF!</v>
      </c>
      <c r="AM6" t="e">
        <f>IF(#REF!,"AAAAAHePfSY=",0)</f>
        <v>#REF!</v>
      </c>
      <c r="AN6" t="e">
        <f>IF(#REF!,"AAAAAHePfSc=",0)</f>
        <v>#REF!</v>
      </c>
      <c r="AO6" t="e">
        <f>IF(#REF!,"AAAAAHePfSg=",0)</f>
        <v>#REF!</v>
      </c>
      <c r="AP6" t="e">
        <f>IF(#REF!,"AAAAAHePfSk=",0)</f>
        <v>#REF!</v>
      </c>
      <c r="AQ6" t="e">
        <f>IF(#REF!,"AAAAAHePfSo=",0)</f>
        <v>#REF!</v>
      </c>
      <c r="AR6" t="e">
        <f>IF(#REF!,"AAAAAHePfSs=",0)</f>
        <v>#REF!</v>
      </c>
      <c r="AS6" t="e">
        <f>IF(#REF!,"AAAAAHePfSw=",0)</f>
        <v>#REF!</v>
      </c>
      <c r="AT6" t="e">
        <f>IF(#REF!,"AAAAAHePfS0=",0)</f>
        <v>#REF!</v>
      </c>
      <c r="AU6" t="e">
        <f>IF(#REF!,"AAAAAHePfS4=",0)</f>
        <v>#REF!</v>
      </c>
      <c r="AV6" t="e">
        <f>IF(#REF!,"AAAAAHePfS8=",0)</f>
        <v>#REF!</v>
      </c>
      <c r="AW6" t="e">
        <f>IF(#REF!,"AAAAAHePfTA=",0)</f>
        <v>#REF!</v>
      </c>
      <c r="AX6" t="e">
        <f>IF(#REF!,"AAAAAHePfTE=",0)</f>
        <v>#REF!</v>
      </c>
      <c r="AY6" t="e">
        <f>IF(#REF!,"AAAAAHePfTI=",0)</f>
        <v>#REF!</v>
      </c>
      <c r="AZ6" t="e">
        <f>IF(#REF!,"AAAAAHePfTM=",0)</f>
        <v>#REF!</v>
      </c>
      <c r="BA6" t="e">
        <f>IF(#REF!,"AAAAAHePfTQ=",0)</f>
        <v>#REF!</v>
      </c>
      <c r="BB6" t="e">
        <f>IF(#REF!,"AAAAAHePfTU=",0)</f>
        <v>#REF!</v>
      </c>
      <c r="BC6" t="e">
        <f>IF(#REF!,"AAAAAHePfTY=",0)</f>
        <v>#REF!</v>
      </c>
      <c r="BD6" t="e">
        <f>IF(#REF!,"AAAAAHePfTc=",0)</f>
        <v>#REF!</v>
      </c>
      <c r="BE6" t="e">
        <f>IF(#REF!,"AAAAAHePfTg=",0)</f>
        <v>#REF!</v>
      </c>
      <c r="BF6" t="e">
        <f>IF(#REF!,"AAAAAHePfTk=",0)</f>
        <v>#REF!</v>
      </c>
      <c r="BG6" t="e">
        <f>IF(#REF!,"AAAAAHePfTo=",0)</f>
        <v>#REF!</v>
      </c>
      <c r="BH6" t="e">
        <f>IF(#REF!,"AAAAAHePfTs=",0)</f>
        <v>#REF!</v>
      </c>
      <c r="BI6" t="e">
        <f>IF(#REF!,"AAAAAHePfTw=",0)</f>
        <v>#REF!</v>
      </c>
      <c r="BJ6" t="e">
        <f>IF(#REF!,"AAAAAHePfT0=",0)</f>
        <v>#REF!</v>
      </c>
      <c r="BK6" t="e">
        <f>IF(#REF!,"AAAAAHePfT4=",0)</f>
        <v>#REF!</v>
      </c>
      <c r="BL6" t="e">
        <f>IF(#REF!,"AAAAAHePfT8=",0)</f>
        <v>#REF!</v>
      </c>
      <c r="BM6" t="e">
        <f>IF(#REF!,"AAAAAHePfUA=",0)</f>
        <v>#REF!</v>
      </c>
      <c r="BN6" t="e">
        <f>IF(#REF!,"AAAAAHePfUE=",0)</f>
        <v>#REF!</v>
      </c>
      <c r="BO6" t="e">
        <f>IF(#REF!,"AAAAAHePfUI=",0)</f>
        <v>#REF!</v>
      </c>
      <c r="BP6" t="e">
        <f>IF(#REF!,"AAAAAHePfUM=",0)</f>
        <v>#REF!</v>
      </c>
      <c r="BQ6" t="e">
        <f>IF(#REF!,"AAAAAHePfUQ=",0)</f>
        <v>#REF!</v>
      </c>
      <c r="BR6" t="e">
        <f>IF(#REF!,"AAAAAHePfUU=",0)</f>
        <v>#REF!</v>
      </c>
      <c r="BS6" t="e">
        <f>IF(#REF!,"AAAAAHePfUY=",0)</f>
        <v>#REF!</v>
      </c>
      <c r="BT6" t="e">
        <f>IF(#REF!,"AAAAAHePfUc=",0)</f>
        <v>#REF!</v>
      </c>
      <c r="BU6" t="e">
        <f>IF(#REF!,"AAAAAHePfUg=",0)</f>
        <v>#REF!</v>
      </c>
      <c r="BV6" t="e">
        <f>IF(#REF!,"AAAAAHePfUk=",0)</f>
        <v>#REF!</v>
      </c>
      <c r="BW6" t="e">
        <f>IF(#REF!,"AAAAAHePfUo=",0)</f>
        <v>#REF!</v>
      </c>
      <c r="BX6" t="e">
        <f>IF(#REF!,"AAAAAHePfUs=",0)</f>
        <v>#REF!</v>
      </c>
      <c r="BY6" t="e">
        <f>IF(#REF!,"AAAAAHePfUw=",0)</f>
        <v>#REF!</v>
      </c>
      <c r="BZ6" t="e">
        <f>IF(#REF!,"AAAAAHePfU0=",0)</f>
        <v>#REF!</v>
      </c>
      <c r="CA6" t="e">
        <f>IF(#REF!,"AAAAAHePfU4=",0)</f>
        <v>#REF!</v>
      </c>
      <c r="CB6" t="e">
        <f>IF(#REF!,"AAAAAHePfU8=",0)</f>
        <v>#REF!</v>
      </c>
      <c r="CC6" t="e">
        <f>IF(#REF!,"AAAAAHePfVA=",0)</f>
        <v>#REF!</v>
      </c>
      <c r="CD6" t="e">
        <f>IF(#REF!,"AAAAAHePfVE=",0)</f>
        <v>#REF!</v>
      </c>
      <c r="CE6" t="e">
        <f>IF(#REF!,"AAAAAHePfVI=",0)</f>
        <v>#REF!</v>
      </c>
      <c r="CF6" t="e">
        <f>IF(#REF!,"AAAAAHePfVM=",0)</f>
        <v>#REF!</v>
      </c>
      <c r="CG6" t="e">
        <f>IF(#REF!,"AAAAAHePfVQ=",0)</f>
        <v>#REF!</v>
      </c>
      <c r="CH6" t="e">
        <f>IF(#REF!,"AAAAAHePfVU=",0)</f>
        <v>#REF!</v>
      </c>
      <c r="CI6" t="e">
        <f>IF(#REF!,"AAAAAHePfVY=",0)</f>
        <v>#REF!</v>
      </c>
      <c r="CJ6" t="e">
        <f>IF(#REF!,"AAAAAHePfVc=",0)</f>
        <v>#REF!</v>
      </c>
      <c r="CK6" t="e">
        <f>IF(#REF!,"AAAAAHePfVg=",0)</f>
        <v>#REF!</v>
      </c>
      <c r="CL6" t="e">
        <f>IF(#REF!,"AAAAAHePfVk=",0)</f>
        <v>#REF!</v>
      </c>
      <c r="CM6" t="e">
        <f>IF(#REF!,"AAAAAHePfVo=",0)</f>
        <v>#REF!</v>
      </c>
      <c r="CN6" t="e">
        <f>IF(#REF!,"AAAAAHePfVs=",0)</f>
        <v>#REF!</v>
      </c>
      <c r="CO6" t="e">
        <f>IF(#REF!,"AAAAAHePfVw=",0)</f>
        <v>#REF!</v>
      </c>
      <c r="CP6" t="e">
        <f>IF(#REF!,"AAAAAHePfV0=",0)</f>
        <v>#REF!</v>
      </c>
      <c r="CQ6" t="e">
        <f>IF(#REF!,"AAAAAHePfV4=",0)</f>
        <v>#REF!</v>
      </c>
      <c r="CR6" t="e">
        <f>IF(#REF!,"AAAAAHePfV8=",0)</f>
        <v>#REF!</v>
      </c>
      <c r="CS6" t="e">
        <f>IF(#REF!,"AAAAAHePfWA=",0)</f>
        <v>#REF!</v>
      </c>
      <c r="CT6" t="e">
        <f>IF(#REF!,"AAAAAHePfWE=",0)</f>
        <v>#REF!</v>
      </c>
      <c r="CU6" t="e">
        <f>IF(#REF!,"AAAAAHePfWI=",0)</f>
        <v>#REF!</v>
      </c>
      <c r="CV6" t="e">
        <f>IF(#REF!,"AAAAAHePfWM=",0)</f>
        <v>#REF!</v>
      </c>
      <c r="CW6" t="e">
        <f>IF(#REF!,"AAAAAHePfWQ=",0)</f>
        <v>#REF!</v>
      </c>
      <c r="CX6" t="e">
        <f>IF(#REF!,"AAAAAHePfWU=",0)</f>
        <v>#REF!</v>
      </c>
      <c r="CY6" t="e">
        <f>IF(#REF!,"AAAAAHePfWY=",0)</f>
        <v>#REF!</v>
      </c>
      <c r="CZ6" t="e">
        <f>IF(#REF!,"AAAAAHePfWc=",0)</f>
        <v>#REF!</v>
      </c>
      <c r="DA6" t="e">
        <f>IF(#REF!,"AAAAAHePfWg=",0)</f>
        <v>#REF!</v>
      </c>
      <c r="DB6" t="e">
        <f>IF(#REF!,"AAAAAHePfWk=",0)</f>
        <v>#REF!</v>
      </c>
      <c r="DC6" t="e">
        <f>IF(#REF!,"AAAAAHePfWo=",0)</f>
        <v>#REF!</v>
      </c>
      <c r="DD6" t="e">
        <f>IF(#REF!,"AAAAAHePfWs=",0)</f>
        <v>#REF!</v>
      </c>
      <c r="DE6" t="e">
        <f>IF(#REF!,"AAAAAHePfWw=",0)</f>
        <v>#REF!</v>
      </c>
      <c r="DF6" t="e">
        <f>IF(#REF!,"AAAAAHePfW0=",0)</f>
        <v>#REF!</v>
      </c>
      <c r="DG6" t="e">
        <f>IF(#REF!,"AAAAAHePfW4=",0)</f>
        <v>#REF!</v>
      </c>
      <c r="DH6" t="e">
        <f>IF(#REF!,"AAAAAHePfW8=",0)</f>
        <v>#REF!</v>
      </c>
      <c r="DI6" t="e">
        <f>IF(#REF!,"AAAAAHePfXA=",0)</f>
        <v>#REF!</v>
      </c>
      <c r="DJ6" t="e">
        <f>IF(#REF!,"AAAAAHePfXE=",0)</f>
        <v>#REF!</v>
      </c>
      <c r="DK6" t="e">
        <f>IF(#REF!,"AAAAAHePfXI=",0)</f>
        <v>#REF!</v>
      </c>
      <c r="DL6" t="e">
        <f>IF(#REF!,"AAAAAHePfXM=",0)</f>
        <v>#REF!</v>
      </c>
      <c r="DM6" t="e">
        <f>IF(#REF!,"AAAAAHePfXQ=",0)</f>
        <v>#REF!</v>
      </c>
      <c r="DN6" t="e">
        <f>IF(#REF!,"AAAAAHePfXU=",0)</f>
        <v>#REF!</v>
      </c>
      <c r="DO6" t="e">
        <f>IF(#REF!,"AAAAAHePfXY=",0)</f>
        <v>#REF!</v>
      </c>
      <c r="DP6" t="e">
        <f>IF(#REF!,"AAAAAHePfXc=",0)</f>
        <v>#REF!</v>
      </c>
      <c r="DQ6" t="e">
        <f>IF(#REF!,"AAAAAHePfXg=",0)</f>
        <v>#REF!</v>
      </c>
      <c r="DR6" t="e">
        <f>IF(#REF!,"AAAAAHePfXk=",0)</f>
        <v>#REF!</v>
      </c>
      <c r="DS6" t="e">
        <f>IF(#REF!,"AAAAAHePfXo=",0)</f>
        <v>#REF!</v>
      </c>
      <c r="DT6" t="e">
        <f>IF(#REF!,"AAAAAHePfXs=",0)</f>
        <v>#REF!</v>
      </c>
      <c r="DU6" t="e">
        <f>IF(#REF!,"AAAAAHePfXw=",0)</f>
        <v>#REF!</v>
      </c>
      <c r="DV6" t="e">
        <f>IF(#REF!,"AAAAAHePfX0=",0)</f>
        <v>#REF!</v>
      </c>
      <c r="DW6" t="e">
        <f>IF(#REF!,"AAAAAHePfX4=",0)</f>
        <v>#REF!</v>
      </c>
      <c r="DX6" t="e">
        <f>IF(#REF!,"AAAAAHePfX8=",0)</f>
        <v>#REF!</v>
      </c>
      <c r="DY6" t="e">
        <f>IF(#REF!,"AAAAAHePfYA=",0)</f>
        <v>#REF!</v>
      </c>
      <c r="DZ6" t="e">
        <f>IF(#REF!,"AAAAAHePfYE=",0)</f>
        <v>#REF!</v>
      </c>
      <c r="EA6" t="e">
        <f>IF(#REF!,"AAAAAHePfYI=",0)</f>
        <v>#REF!</v>
      </c>
      <c r="EB6" t="e">
        <f>IF(#REF!,"AAAAAHePfYM=",0)</f>
        <v>#REF!</v>
      </c>
      <c r="EC6" t="e">
        <f>IF(#REF!,"AAAAAHePfYQ=",0)</f>
        <v>#REF!</v>
      </c>
      <c r="ED6" t="e">
        <f>IF(#REF!,"AAAAAHePfYU=",0)</f>
        <v>#REF!</v>
      </c>
      <c r="EE6" t="e">
        <f>IF(#REF!,"AAAAAHePfYY=",0)</f>
        <v>#REF!</v>
      </c>
      <c r="EF6" t="e">
        <f>IF(#REF!,"AAAAAHePfYc=",0)</f>
        <v>#REF!</v>
      </c>
      <c r="EG6" t="e">
        <f>IF(#REF!,"AAAAAHePfYg=",0)</f>
        <v>#REF!</v>
      </c>
      <c r="EH6" t="e">
        <f>IF(#REF!,"AAAAAHePfYk=",0)</f>
        <v>#REF!</v>
      </c>
      <c r="EI6" t="e">
        <f>IF(#REF!,"AAAAAHePfYo=",0)</f>
        <v>#REF!</v>
      </c>
      <c r="EJ6" t="e">
        <f>IF(#REF!,"AAAAAHePfYs=",0)</f>
        <v>#REF!</v>
      </c>
      <c r="EK6" t="e">
        <f>IF(#REF!,"AAAAAHePfYw=",0)</f>
        <v>#REF!</v>
      </c>
      <c r="EL6" t="e">
        <f>IF(#REF!,"AAAAAHePfY0=",0)</f>
        <v>#REF!</v>
      </c>
      <c r="EM6" t="e">
        <f>IF(#REF!,"AAAAAHePfY4=",0)</f>
        <v>#REF!</v>
      </c>
      <c r="EN6" t="e">
        <f>IF(#REF!,"AAAAAHePfY8=",0)</f>
        <v>#REF!</v>
      </c>
      <c r="EO6" t="e">
        <f>IF(#REF!,"AAAAAHePfZA=",0)</f>
        <v>#REF!</v>
      </c>
      <c r="EP6" t="e">
        <f>IF(#REF!,"AAAAAHePfZE=",0)</f>
        <v>#REF!</v>
      </c>
      <c r="EQ6" t="e">
        <f>IF(#REF!,"AAAAAHePfZI=",0)</f>
        <v>#REF!</v>
      </c>
      <c r="ER6" t="e">
        <f>IF(#REF!,"AAAAAHePfZM=",0)</f>
        <v>#REF!</v>
      </c>
      <c r="ES6" t="e">
        <f>IF(#REF!,"AAAAAHePfZQ=",0)</f>
        <v>#REF!</v>
      </c>
      <c r="ET6" t="e">
        <f>IF(#REF!,"AAAAAHePfZU=",0)</f>
        <v>#REF!</v>
      </c>
      <c r="EU6" t="e">
        <f>IF(#REF!,"AAAAAHePfZY=",0)</f>
        <v>#REF!</v>
      </c>
      <c r="EV6" t="e">
        <f>IF(#REF!,"AAAAAHePfZc=",0)</f>
        <v>#REF!</v>
      </c>
      <c r="EW6" t="e">
        <f>IF(#REF!,"AAAAAHePfZg=",0)</f>
        <v>#REF!</v>
      </c>
      <c r="EX6" t="e">
        <f>IF(#REF!,"AAAAAHePfZk=",0)</f>
        <v>#REF!</v>
      </c>
      <c r="EY6" t="e">
        <f>IF(#REF!,"AAAAAHePfZo=",0)</f>
        <v>#REF!</v>
      </c>
      <c r="EZ6" t="e">
        <f>IF(#REF!,"AAAAAHePfZs=",0)</f>
        <v>#REF!</v>
      </c>
      <c r="FA6" t="e">
        <f>IF(#REF!,"AAAAAHePfZw=",0)</f>
        <v>#REF!</v>
      </c>
      <c r="FB6" t="e">
        <f>IF(#REF!,"AAAAAHePfZ0=",0)</f>
        <v>#REF!</v>
      </c>
      <c r="FC6" t="e">
        <f>IF(#REF!,"AAAAAHePfZ4=",0)</f>
        <v>#REF!</v>
      </c>
      <c r="FD6" t="e">
        <f>IF(#REF!,"AAAAAHePfZ8=",0)</f>
        <v>#REF!</v>
      </c>
      <c r="FE6" t="e">
        <f>IF(#REF!,"AAAAAHePfaA=",0)</f>
        <v>#REF!</v>
      </c>
      <c r="FF6" t="e">
        <f>IF(#REF!,"AAAAAHePfaE=",0)</f>
        <v>#REF!</v>
      </c>
      <c r="FG6" t="e">
        <f>IF(#REF!,"AAAAAHePfaI=",0)</f>
        <v>#REF!</v>
      </c>
      <c r="FH6" t="e">
        <f>IF(#REF!,"AAAAAHePfaM=",0)</f>
        <v>#REF!</v>
      </c>
      <c r="FI6" t="e">
        <f>IF(#REF!,"AAAAAHePfaQ=",0)</f>
        <v>#REF!</v>
      </c>
      <c r="FJ6" t="e">
        <f>IF(#REF!,"AAAAAHePfaU=",0)</f>
        <v>#REF!</v>
      </c>
      <c r="FK6" t="e">
        <f>IF(#REF!,"AAAAAHePfaY=",0)</f>
        <v>#REF!</v>
      </c>
      <c r="FL6" t="e">
        <f>IF(#REF!,"AAAAAHePfac=",0)</f>
        <v>#REF!</v>
      </c>
      <c r="FM6" t="e">
        <f>IF(#REF!,"AAAAAHePfag=",0)</f>
        <v>#REF!</v>
      </c>
      <c r="FN6" t="e">
        <f>IF(#REF!,"AAAAAHePfak=",0)</f>
        <v>#REF!</v>
      </c>
      <c r="FO6" t="e">
        <f>IF(#REF!,"AAAAAHePfao=",0)</f>
        <v>#REF!</v>
      </c>
      <c r="FP6" t="e">
        <f>IF(#REF!,"AAAAAHePfas=",0)</f>
        <v>#REF!</v>
      </c>
      <c r="FQ6" t="e">
        <f>IF(#REF!,"AAAAAHePfaw=",0)</f>
        <v>#REF!</v>
      </c>
      <c r="FR6" t="e">
        <f>IF(#REF!,"AAAAAHePfa0=",0)</f>
        <v>#REF!</v>
      </c>
      <c r="FS6" t="e">
        <f>IF(#REF!,"AAAAAHePfa4=",0)</f>
        <v>#REF!</v>
      </c>
      <c r="FT6" t="e">
        <f>IF(#REF!,"AAAAAHePfa8=",0)</f>
        <v>#REF!</v>
      </c>
      <c r="FU6" t="e">
        <f>IF(#REF!,"AAAAAHePfbA=",0)</f>
        <v>#REF!</v>
      </c>
      <c r="FV6" t="e">
        <f>IF(#REF!,"AAAAAHePfbE=",0)</f>
        <v>#REF!</v>
      </c>
      <c r="FW6" t="e">
        <f>IF(#REF!,"AAAAAHePfbI=",0)</f>
        <v>#REF!</v>
      </c>
      <c r="FX6" t="e">
        <f>IF(#REF!,"AAAAAHePfbM=",0)</f>
        <v>#REF!</v>
      </c>
      <c r="FY6" t="e">
        <f>IF(#REF!,"AAAAAHePfbQ=",0)</f>
        <v>#REF!</v>
      </c>
      <c r="FZ6" t="e">
        <f>IF(#REF!,"AAAAAHePfbU=",0)</f>
        <v>#REF!</v>
      </c>
      <c r="GA6" t="e">
        <f>IF(#REF!,"AAAAAHePfbY=",0)</f>
        <v>#REF!</v>
      </c>
      <c r="GB6" t="e">
        <f>IF(#REF!,"AAAAAHePfbc=",0)</f>
        <v>#REF!</v>
      </c>
      <c r="GC6" t="e">
        <f>IF(#REF!,"AAAAAHePfbg=",0)</f>
        <v>#REF!</v>
      </c>
      <c r="GD6" t="e">
        <f>IF(#REF!,"AAAAAHePfbk=",0)</f>
        <v>#REF!</v>
      </c>
      <c r="GE6" t="e">
        <f>IF(#REF!,"AAAAAHePfbo=",0)</f>
        <v>#REF!</v>
      </c>
      <c r="GF6" t="e">
        <f>IF(#REF!,"AAAAAHePfbs=",0)</f>
        <v>#REF!</v>
      </c>
      <c r="GG6" t="e">
        <f>IF(#REF!,"AAAAAHePfbw=",0)</f>
        <v>#REF!</v>
      </c>
      <c r="GH6" t="e">
        <f>IF(#REF!,"AAAAAHePfb0=",0)</f>
        <v>#REF!</v>
      </c>
      <c r="GI6" t="e">
        <f>IF(#REF!,"AAAAAHePfb4=",0)</f>
        <v>#REF!</v>
      </c>
      <c r="GJ6" t="e">
        <f>IF(#REF!,"AAAAAHePfb8=",0)</f>
        <v>#REF!</v>
      </c>
      <c r="GK6" t="e">
        <f>IF(#REF!,"AAAAAHePfcA=",0)</f>
        <v>#REF!</v>
      </c>
      <c r="GL6" t="e">
        <f>IF(#REF!,"AAAAAHePfcE=",0)</f>
        <v>#REF!</v>
      </c>
      <c r="GM6" t="e">
        <f>IF(#REF!,"AAAAAHePfcI=",0)</f>
        <v>#REF!</v>
      </c>
      <c r="GN6" t="e">
        <f>IF(#REF!,"AAAAAHePfcM=",0)</f>
        <v>#REF!</v>
      </c>
      <c r="GO6" t="e">
        <f>IF(#REF!,"AAAAAHePfcQ=",0)</f>
        <v>#REF!</v>
      </c>
      <c r="GP6" t="e">
        <f>IF(#REF!,"AAAAAHePfcU=",0)</f>
        <v>#REF!</v>
      </c>
      <c r="GQ6" t="e">
        <f>IF(#REF!,"AAAAAHePfcY=",0)</f>
        <v>#REF!</v>
      </c>
      <c r="GR6" t="e">
        <f>IF(#REF!,"AAAAAHePfcc=",0)</f>
        <v>#REF!</v>
      </c>
      <c r="GS6" t="e">
        <f>IF(#REF!,"AAAAAHePfcg=",0)</f>
        <v>#REF!</v>
      </c>
      <c r="GT6" t="e">
        <f>IF(#REF!,"AAAAAHePfck=",0)</f>
        <v>#REF!</v>
      </c>
      <c r="GU6" t="e">
        <f>IF(#REF!,"AAAAAHePfco=",0)</f>
        <v>#REF!</v>
      </c>
      <c r="GV6" t="e">
        <f>IF(#REF!,"AAAAAHePfcs=",0)</f>
        <v>#REF!</v>
      </c>
      <c r="GW6" t="e">
        <f>IF(#REF!,"AAAAAHePfcw=",0)</f>
        <v>#REF!</v>
      </c>
      <c r="GX6" t="e">
        <f>IF(#REF!,"AAAAAHePfc0=",0)</f>
        <v>#REF!</v>
      </c>
      <c r="GY6" t="e">
        <f>IF(#REF!,"AAAAAHePfc4=",0)</f>
        <v>#REF!</v>
      </c>
      <c r="GZ6" t="e">
        <f>IF(#REF!,"AAAAAHePfc8=",0)</f>
        <v>#REF!</v>
      </c>
      <c r="HA6" t="e">
        <f>IF(#REF!,"AAAAAHePfdA=",0)</f>
        <v>#REF!</v>
      </c>
      <c r="HB6" t="e">
        <f>IF(#REF!,"AAAAAHePfdE=",0)</f>
        <v>#REF!</v>
      </c>
      <c r="HC6" t="e">
        <f>IF(#REF!,"AAAAAHePfdI=",0)</f>
        <v>#REF!</v>
      </c>
      <c r="HD6" t="e">
        <f>IF(#REF!,"AAAAAHePfdM=",0)</f>
        <v>#REF!</v>
      </c>
      <c r="HE6" t="e">
        <f>IF(#REF!,"AAAAAHePfdQ=",0)</f>
        <v>#REF!</v>
      </c>
      <c r="HF6" t="e">
        <f>IF(#REF!,"AAAAAHePfdU=",0)</f>
        <v>#REF!</v>
      </c>
      <c r="HG6" t="e">
        <f>IF(#REF!,"AAAAAHePfdY=",0)</f>
        <v>#REF!</v>
      </c>
      <c r="HH6" t="e">
        <f>IF(#REF!,"AAAAAHePfdc=",0)</f>
        <v>#REF!</v>
      </c>
      <c r="HI6" t="e">
        <f>IF(#REF!,"AAAAAHePfdg=",0)</f>
        <v>#REF!</v>
      </c>
      <c r="HJ6" t="e">
        <f>IF(#REF!,"AAAAAHePfdk=",0)</f>
        <v>#REF!</v>
      </c>
      <c r="HK6" t="e">
        <f>IF(#REF!,"AAAAAHePfdo=",0)</f>
        <v>#REF!</v>
      </c>
      <c r="HL6" t="e">
        <f>IF(#REF!,"AAAAAHePfds=",0)</f>
        <v>#REF!</v>
      </c>
      <c r="HM6" t="e">
        <f>IF(#REF!,"AAAAAHePfdw=",0)</f>
        <v>#REF!</v>
      </c>
      <c r="HN6" t="e">
        <f>IF(#REF!,"AAAAAHePfd0=",0)</f>
        <v>#REF!</v>
      </c>
      <c r="HO6" t="e">
        <f>IF(#REF!,"AAAAAHePfd4=",0)</f>
        <v>#REF!</v>
      </c>
      <c r="HP6" t="e">
        <f>IF(#REF!,"AAAAAHePfd8=",0)</f>
        <v>#REF!</v>
      </c>
      <c r="HQ6" t="e">
        <f>IF(#REF!,"AAAAAHePfeA=",0)</f>
        <v>#REF!</v>
      </c>
      <c r="HR6" t="e">
        <f>IF(#REF!,"AAAAAHePfeE=",0)</f>
        <v>#REF!</v>
      </c>
      <c r="HS6" t="e">
        <f>IF(#REF!,"AAAAAHePfeI=",0)</f>
        <v>#REF!</v>
      </c>
      <c r="HT6" t="e">
        <f>IF(#REF!,"AAAAAHePfeM=",0)</f>
        <v>#REF!</v>
      </c>
      <c r="HU6" t="e">
        <f>IF(#REF!,"AAAAAHePfeQ=",0)</f>
        <v>#REF!</v>
      </c>
      <c r="HV6" t="e">
        <f>IF(#REF!,"AAAAAHePfeU=",0)</f>
        <v>#REF!</v>
      </c>
      <c r="HW6" t="e">
        <f>IF(#REF!,"AAAAAHePfeY=",0)</f>
        <v>#REF!</v>
      </c>
      <c r="HX6" t="e">
        <f>IF(#REF!,"AAAAAHePfec=",0)</f>
        <v>#REF!</v>
      </c>
      <c r="HY6" t="e">
        <f>IF(#REF!,"AAAAAHePfeg=",0)</f>
        <v>#REF!</v>
      </c>
      <c r="HZ6" t="e">
        <f>IF(#REF!,"AAAAAHePfek=",0)</f>
        <v>#REF!</v>
      </c>
      <c r="IA6" t="e">
        <f>IF(#REF!,"AAAAAHePfeo=",0)</f>
        <v>#REF!</v>
      </c>
      <c r="IB6" t="e">
        <f>IF(#REF!,"AAAAAHePfes=",0)</f>
        <v>#REF!</v>
      </c>
      <c r="IC6" t="e">
        <f>IF(#REF!,"AAAAAHePfew=",0)</f>
        <v>#REF!</v>
      </c>
      <c r="ID6" t="e">
        <f>IF(#REF!,"AAAAAHePfe0=",0)</f>
        <v>#REF!</v>
      </c>
      <c r="IE6" t="e">
        <f>IF(#REF!,"AAAAAHePfe4=",0)</f>
        <v>#REF!</v>
      </c>
      <c r="IF6" t="e">
        <f>IF(#REF!,"AAAAAHePfe8=",0)</f>
        <v>#REF!</v>
      </c>
      <c r="IG6" t="e">
        <f>IF(#REF!,"AAAAAHePffA=",0)</f>
        <v>#REF!</v>
      </c>
      <c r="IH6" t="e">
        <f>IF(#REF!,"AAAAAHePffE=",0)</f>
        <v>#REF!</v>
      </c>
      <c r="II6" t="e">
        <f>IF(#REF!,"AAAAAHePffI=",0)</f>
        <v>#REF!</v>
      </c>
      <c r="IJ6" t="e">
        <f>IF(#REF!,"AAAAAHePffM=",0)</f>
        <v>#REF!</v>
      </c>
      <c r="IK6" t="e">
        <f>IF(#REF!,"AAAAAHePffQ=",0)</f>
        <v>#REF!</v>
      </c>
      <c r="IL6" t="e">
        <f>IF(#REF!,"AAAAAHePffU=",0)</f>
        <v>#REF!</v>
      </c>
      <c r="IM6" t="e">
        <f>IF(#REF!,"AAAAAHePffY=",0)</f>
        <v>#REF!</v>
      </c>
      <c r="IN6" t="e">
        <f>IF(#REF!,"AAAAAHePffc=",0)</f>
        <v>#REF!</v>
      </c>
      <c r="IO6" t="e">
        <f>IF(#REF!,"AAAAAHePffg=",0)</f>
        <v>#REF!</v>
      </c>
      <c r="IP6" t="e">
        <f>IF(#REF!,"AAAAAHePffk=",0)</f>
        <v>#REF!</v>
      </c>
      <c r="IQ6" t="e">
        <f>IF(#REF!,"AAAAAHePffo=",0)</f>
        <v>#REF!</v>
      </c>
      <c r="IR6" t="e">
        <f>IF(#REF!,"AAAAAHePffs=",0)</f>
        <v>#REF!</v>
      </c>
      <c r="IS6" t="e">
        <f>IF(#REF!,"AAAAAHePffw=",0)</f>
        <v>#REF!</v>
      </c>
      <c r="IT6" t="e">
        <f>IF(#REF!,"AAAAAHePff0=",0)</f>
        <v>#REF!</v>
      </c>
      <c r="IU6" t="e">
        <f>IF(#REF!,"AAAAAHePff4=",0)</f>
        <v>#REF!</v>
      </c>
      <c r="IV6" t="e">
        <f>IF(#REF!,"AAAAAHePff8=",0)</f>
        <v>#REF!</v>
      </c>
    </row>
    <row r="7" spans="1:256" ht="12.75">
      <c r="A7" t="e">
        <f>IF(#REF!,"AAAAAB+//wA=",0)</f>
        <v>#REF!</v>
      </c>
      <c r="B7" t="e">
        <f>IF(#REF!,"AAAAAB+//wE=",0)</f>
        <v>#REF!</v>
      </c>
      <c r="C7" t="e">
        <f>IF(#REF!,"AAAAAB+//wI=",0)</f>
        <v>#REF!</v>
      </c>
      <c r="D7" t="e">
        <f>IF(#REF!,"AAAAAB+//wM=",0)</f>
        <v>#REF!</v>
      </c>
      <c r="E7" t="e">
        <f>IF(#REF!,"AAAAAB+//wQ=",0)</f>
        <v>#REF!</v>
      </c>
      <c r="F7" t="e">
        <f>IF(#REF!,"AAAAAB+//wU=",0)</f>
        <v>#REF!</v>
      </c>
      <c r="G7" t="e">
        <f>IF(#REF!,"AAAAAB+//wY=",0)</f>
        <v>#REF!</v>
      </c>
      <c r="H7" t="e">
        <f>IF(#REF!,"AAAAAB+//wc=",0)</f>
        <v>#REF!</v>
      </c>
      <c r="I7" t="e">
        <f>IF(#REF!,"AAAAAB+//wg=",0)</f>
        <v>#REF!</v>
      </c>
      <c r="J7" t="e">
        <f>IF(#REF!,"AAAAAB+//wk=",0)</f>
        <v>#REF!</v>
      </c>
      <c r="K7" t="e">
        <f>IF(#REF!,"AAAAAB+//wo=",0)</f>
        <v>#REF!</v>
      </c>
      <c r="L7" t="e">
        <f>IF(#REF!,"AAAAAB+//ws=",0)</f>
        <v>#REF!</v>
      </c>
      <c r="M7" t="e">
        <f>IF(#REF!,"AAAAAB+//ww=",0)</f>
        <v>#REF!</v>
      </c>
      <c r="N7" t="e">
        <f>IF(#REF!,"AAAAAB+//w0=",0)</f>
        <v>#REF!</v>
      </c>
      <c r="O7" t="e">
        <f>IF(#REF!,"AAAAAB+//w4=",0)</f>
        <v>#REF!</v>
      </c>
      <c r="P7" t="e">
        <f>IF(#REF!,"AAAAAB+//w8=",0)</f>
        <v>#REF!</v>
      </c>
      <c r="Q7" t="e">
        <f>IF(#REF!,"AAAAAB+//xA=",0)</f>
        <v>#REF!</v>
      </c>
      <c r="R7" t="e">
        <f>IF(#REF!,"AAAAAB+//xE=",0)</f>
        <v>#REF!</v>
      </c>
      <c r="S7" t="e">
        <f>IF(#REF!,"AAAAAB+//xI=",0)</f>
        <v>#REF!</v>
      </c>
      <c r="T7" t="e">
        <f>IF(#REF!,"AAAAAB+//xM=",0)</f>
        <v>#REF!</v>
      </c>
      <c r="U7" t="e">
        <f>IF(#REF!,"AAAAAB+//xQ=",0)</f>
        <v>#REF!</v>
      </c>
      <c r="V7" t="e">
        <f>IF(#REF!,"AAAAAB+//xU=",0)</f>
        <v>#REF!</v>
      </c>
      <c r="W7" t="e">
        <f>IF(#REF!,"AAAAAB+//xY=",0)</f>
        <v>#REF!</v>
      </c>
      <c r="X7" t="e">
        <f>IF(#REF!,"AAAAAB+//xc=",0)</f>
        <v>#REF!</v>
      </c>
      <c r="Y7" t="e">
        <f>IF(#REF!,"AAAAAB+//xg=",0)</f>
        <v>#REF!</v>
      </c>
      <c r="Z7" t="e">
        <f>IF(#REF!,"AAAAAB+//xk=",0)</f>
        <v>#REF!</v>
      </c>
      <c r="AA7" t="e">
        <f>IF(#REF!,"AAAAAB+//xo=",0)</f>
        <v>#REF!</v>
      </c>
      <c r="AB7" t="e">
        <f>IF(#REF!,"AAAAAB+//xs=",0)</f>
        <v>#REF!</v>
      </c>
      <c r="AC7" t="e">
        <f>IF(#REF!,"AAAAAB+//xw=",0)</f>
        <v>#REF!</v>
      </c>
      <c r="AD7" t="e">
        <f>IF(#REF!,"AAAAAB+//x0=",0)</f>
        <v>#REF!</v>
      </c>
      <c r="AE7" t="e">
        <f>IF(#REF!,"AAAAAB+//x4=",0)</f>
        <v>#REF!</v>
      </c>
      <c r="AF7" t="e">
        <f>IF(#REF!,"AAAAAB+//x8=",0)</f>
        <v>#REF!</v>
      </c>
      <c r="AG7" t="e">
        <f>IF(#REF!,"AAAAAB+//yA=",0)</f>
        <v>#REF!</v>
      </c>
      <c r="AH7" t="e">
        <f>IF(#REF!,"AAAAAB+//yE=",0)</f>
        <v>#REF!</v>
      </c>
      <c r="AI7" t="e">
        <f>IF(#REF!,"AAAAAB+//yI=",0)</f>
        <v>#REF!</v>
      </c>
      <c r="AJ7" t="e">
        <f>IF(#REF!,"AAAAAB+//yM=",0)</f>
        <v>#REF!</v>
      </c>
      <c r="AK7" t="e">
        <f>IF(#REF!,"AAAAAB+//yQ=",0)</f>
        <v>#REF!</v>
      </c>
      <c r="AL7" t="e">
        <f>IF(#REF!,"AAAAAB+//yU=",0)</f>
        <v>#REF!</v>
      </c>
      <c r="AM7" t="e">
        <f>IF(#REF!,"AAAAAB+//yY=",0)</f>
        <v>#REF!</v>
      </c>
      <c r="AN7" t="e">
        <f>IF(#REF!,"AAAAAB+//yc=",0)</f>
        <v>#REF!</v>
      </c>
      <c r="AO7" t="e">
        <f>IF(#REF!,"AAAAAB+//yg=",0)</f>
        <v>#REF!</v>
      </c>
      <c r="AP7" t="e">
        <f>IF(#REF!,"AAAAAB+//yk=",0)</f>
        <v>#REF!</v>
      </c>
      <c r="AQ7" t="e">
        <f>IF(#REF!,"AAAAAB+//yo=",0)</f>
        <v>#REF!</v>
      </c>
      <c r="AR7" t="e">
        <f>IF(#REF!,"AAAAAB+//ys=",0)</f>
        <v>#REF!</v>
      </c>
      <c r="AS7" t="e">
        <f>IF(#REF!,"AAAAAB+//yw=",0)</f>
        <v>#REF!</v>
      </c>
      <c r="AT7" t="e">
        <f>IF(#REF!,"AAAAAB+//y0=",0)</f>
        <v>#REF!</v>
      </c>
      <c r="AU7" t="e">
        <f>IF(#REF!,"AAAAAB+//y4=",0)</f>
        <v>#REF!</v>
      </c>
      <c r="AV7" t="e">
        <f>IF(#REF!,"AAAAAB+//y8=",0)</f>
        <v>#REF!</v>
      </c>
      <c r="AW7" t="e">
        <f>IF(#REF!,"AAAAAB+//zA=",0)</f>
        <v>#REF!</v>
      </c>
      <c r="AX7" t="e">
        <f>IF(#REF!,"AAAAAB+//zE=",0)</f>
        <v>#REF!</v>
      </c>
      <c r="AY7" t="e">
        <f>IF(#REF!,"AAAAAB+//zI=",0)</f>
        <v>#REF!</v>
      </c>
      <c r="AZ7" t="e">
        <f>IF(#REF!,"AAAAAB+//zM=",0)</f>
        <v>#REF!</v>
      </c>
      <c r="BA7" t="e">
        <f>IF(#REF!,"AAAAAB+//zQ=",0)</f>
        <v>#REF!</v>
      </c>
      <c r="BB7" t="e">
        <f>IF(#REF!,"AAAAAB+//zU=",0)</f>
        <v>#REF!</v>
      </c>
      <c r="BC7" t="e">
        <f>IF(#REF!,"AAAAAB+//zY=",0)</f>
        <v>#REF!</v>
      </c>
      <c r="BD7" t="e">
        <f>IF(#REF!,"AAAAAB+//zc=",0)</f>
        <v>#REF!</v>
      </c>
      <c r="BE7" t="e">
        <f>IF(#REF!,"AAAAAB+//zg=",0)</f>
        <v>#REF!</v>
      </c>
      <c r="BF7" t="e">
        <f>IF(#REF!,"AAAAAB+//zk=",0)</f>
        <v>#REF!</v>
      </c>
      <c r="BG7" t="e">
        <f>IF(#REF!,"AAAAAB+//zo=",0)</f>
        <v>#REF!</v>
      </c>
      <c r="BH7" t="e">
        <f>IF(#REF!,"AAAAAB+//zs=",0)</f>
        <v>#REF!</v>
      </c>
      <c r="BI7" t="e">
        <f>IF(#REF!,"AAAAAB+//zw=",0)</f>
        <v>#REF!</v>
      </c>
      <c r="BJ7" t="e">
        <f>IF(#REF!,"AAAAAB+//z0=",0)</f>
        <v>#REF!</v>
      </c>
      <c r="BK7" t="e">
        <f>IF(#REF!,"AAAAAB+//z4=",0)</f>
        <v>#REF!</v>
      </c>
      <c r="BL7" t="e">
        <f>IF(#REF!,"AAAAAB+//z8=",0)</f>
        <v>#REF!</v>
      </c>
      <c r="BM7" t="e">
        <f>IF(#REF!,"AAAAAB+//0A=",0)</f>
        <v>#REF!</v>
      </c>
      <c r="BN7" t="e">
        <f>IF(#REF!,"AAAAAB+//0E=",0)</f>
        <v>#REF!</v>
      </c>
      <c r="BO7" t="e">
        <f>IF(#REF!,"AAAAAB+//0I=",0)</f>
        <v>#REF!</v>
      </c>
      <c r="BP7" t="e">
        <f>IF(#REF!,"AAAAAB+//0M=",0)</f>
        <v>#REF!</v>
      </c>
      <c r="BQ7" t="e">
        <f>IF(#REF!,"AAAAAB+//0Q=",0)</f>
        <v>#REF!</v>
      </c>
      <c r="BR7" t="e">
        <f>IF(#REF!,"AAAAAB+//0U=",0)</f>
        <v>#REF!</v>
      </c>
      <c r="BS7" t="e">
        <f>IF(#REF!,"AAAAAB+//0Y=",0)</f>
        <v>#REF!</v>
      </c>
      <c r="BT7" t="e">
        <f>IF(#REF!,"AAAAAB+//0c=",0)</f>
        <v>#REF!</v>
      </c>
      <c r="BU7" t="e">
        <f>IF(#REF!,"AAAAAB+//0g=",0)</f>
        <v>#REF!</v>
      </c>
      <c r="BV7" t="e">
        <f>IF(#REF!,"AAAAAB+//0k=",0)</f>
        <v>#REF!</v>
      </c>
      <c r="BW7" t="e">
        <f>IF(#REF!,"AAAAAB+//0o=",0)</f>
        <v>#REF!</v>
      </c>
      <c r="BX7" t="e">
        <f>IF(#REF!,"AAAAAB+//0s=",0)</f>
        <v>#REF!</v>
      </c>
      <c r="BY7" t="e">
        <f>IF(#REF!,"AAAAAB+//0w=",0)</f>
        <v>#REF!</v>
      </c>
      <c r="BZ7" t="e">
        <f>IF(#REF!,"AAAAAB+//00=",0)</f>
        <v>#REF!</v>
      </c>
      <c r="CA7" t="e">
        <f>IF(#REF!,"AAAAAB+//04=",0)</f>
        <v>#REF!</v>
      </c>
      <c r="CB7" t="e">
        <f>IF(#REF!,"AAAAAB+//08=",0)</f>
        <v>#REF!</v>
      </c>
      <c r="CC7" t="e">
        <f>IF(#REF!,"AAAAAB+//1A=",0)</f>
        <v>#REF!</v>
      </c>
      <c r="CD7" t="e">
        <f>IF(#REF!,"AAAAAB+//1E=",0)</f>
        <v>#REF!</v>
      </c>
      <c r="CE7" t="e">
        <f>IF(#REF!,"AAAAAB+//1I=",0)</f>
        <v>#REF!</v>
      </c>
      <c r="CF7" t="e">
        <f>IF(#REF!,"AAAAAB+//1M=",0)</f>
        <v>#REF!</v>
      </c>
      <c r="CG7" t="e">
        <f>IF(#REF!,"AAAAAB+//1Q=",0)</f>
        <v>#REF!</v>
      </c>
      <c r="CH7" t="e">
        <f>IF(#REF!,"AAAAAB+//1U=",0)</f>
        <v>#REF!</v>
      </c>
      <c r="CI7" t="e">
        <f>IF(#REF!,"AAAAAB+//1Y=",0)</f>
        <v>#REF!</v>
      </c>
      <c r="CJ7" t="e">
        <f>IF(#REF!,"AAAAAB+//1c=",0)</f>
        <v>#REF!</v>
      </c>
      <c r="CK7" t="e">
        <f>IF(#REF!,"AAAAAB+//1g=",0)</f>
        <v>#REF!</v>
      </c>
      <c r="CL7" t="e">
        <f>IF(#REF!,"AAAAAB+//1k=",0)</f>
        <v>#REF!</v>
      </c>
      <c r="CM7" t="e">
        <f>IF(#REF!,"AAAAAB+//1o=",0)</f>
        <v>#REF!</v>
      </c>
      <c r="CN7" t="e">
        <f>IF(#REF!,"AAAAAB+//1s=",0)</f>
        <v>#REF!</v>
      </c>
      <c r="CO7" t="e">
        <f>IF(#REF!,"AAAAAB+//1w=",0)</f>
        <v>#REF!</v>
      </c>
      <c r="CP7" t="e">
        <f>IF(#REF!,"AAAAAB+//10=",0)</f>
        <v>#REF!</v>
      </c>
      <c r="CQ7" t="e">
        <f>IF(#REF!,"AAAAAB+//14=",0)</f>
        <v>#REF!</v>
      </c>
      <c r="CR7" t="e">
        <f>IF(#REF!,"AAAAAB+//18=",0)</f>
        <v>#REF!</v>
      </c>
      <c r="CS7" t="e">
        <f>IF(#REF!,"AAAAAB+//2A=",0)</f>
        <v>#REF!</v>
      </c>
      <c r="CT7" t="e">
        <f>IF(#REF!,"AAAAAB+//2E=",0)</f>
        <v>#REF!</v>
      </c>
      <c r="CU7" t="e">
        <f>IF(#REF!,"AAAAAB+//2I=",0)</f>
        <v>#REF!</v>
      </c>
      <c r="CV7" t="e">
        <f>IF(#REF!,"AAAAAB+//2M=",0)</f>
        <v>#REF!</v>
      </c>
      <c r="CW7" t="e">
        <f>IF(#REF!,"AAAAAB+//2Q=",0)</f>
        <v>#REF!</v>
      </c>
      <c r="CX7" t="e">
        <f>IF(#REF!,"AAAAAB+//2U=",0)</f>
        <v>#REF!</v>
      </c>
      <c r="CY7" t="e">
        <f>IF(#REF!,"AAAAAB+//2Y=",0)</f>
        <v>#REF!</v>
      </c>
      <c r="CZ7" t="e">
        <f>IF(#REF!,"AAAAAB+//2c=",0)</f>
        <v>#REF!</v>
      </c>
      <c r="DA7" t="e">
        <f>IF(#REF!,"AAAAAB+//2g=",0)</f>
        <v>#REF!</v>
      </c>
      <c r="DB7" t="e">
        <f>IF(#REF!,"AAAAAB+//2k=",0)</f>
        <v>#REF!</v>
      </c>
      <c r="DC7" t="e">
        <f>IF(#REF!,"AAAAAB+//2o=",0)</f>
        <v>#REF!</v>
      </c>
      <c r="DD7" t="e">
        <f>IF(#REF!,"AAAAAB+//2s=",0)</f>
        <v>#REF!</v>
      </c>
      <c r="DE7" t="e">
        <f>IF(#REF!,"AAAAAB+//2w=",0)</f>
        <v>#REF!</v>
      </c>
      <c r="DF7" t="e">
        <f>IF(#REF!,"AAAAAB+//20=",0)</f>
        <v>#REF!</v>
      </c>
      <c r="DG7" t="e">
        <f>IF(#REF!,"AAAAAB+//24=",0)</f>
        <v>#REF!</v>
      </c>
      <c r="DH7" t="e">
        <f>IF(#REF!,"AAAAAB+//28=",0)</f>
        <v>#REF!</v>
      </c>
      <c r="DI7" t="e">
        <f>IF(#REF!,"AAAAAB+//3A=",0)</f>
        <v>#REF!</v>
      </c>
      <c r="DJ7" t="e">
        <f>IF(#REF!,"AAAAAB+//3E=",0)</f>
        <v>#REF!</v>
      </c>
      <c r="DK7" t="e">
        <f>IF(#REF!,"AAAAAB+//3I=",0)</f>
        <v>#REF!</v>
      </c>
      <c r="DL7" t="e">
        <f>IF(#REF!,"AAAAAB+//3M=",0)</f>
        <v>#REF!</v>
      </c>
      <c r="DM7" t="e">
        <f>IF(#REF!,"AAAAAB+//3Q=",0)</f>
        <v>#REF!</v>
      </c>
      <c r="DN7" t="e">
        <f>IF(#REF!,"AAAAAB+//3U=",0)</f>
        <v>#REF!</v>
      </c>
      <c r="DO7" t="e">
        <f>IF(#REF!,"AAAAAB+//3Y=",0)</f>
        <v>#REF!</v>
      </c>
      <c r="DP7" t="e">
        <f>IF(#REF!,"AAAAAB+//3c=",0)</f>
        <v>#REF!</v>
      </c>
      <c r="DQ7" t="e">
        <f>IF(#REF!,"AAAAAB+//3g=",0)</f>
        <v>#REF!</v>
      </c>
      <c r="DR7" t="e">
        <f>IF(#REF!,"AAAAAB+//3k=",0)</f>
        <v>#REF!</v>
      </c>
      <c r="DS7" t="e">
        <f>IF(#REF!,"AAAAAB+//3o=",0)</f>
        <v>#REF!</v>
      </c>
      <c r="DT7" t="e">
        <f>IF(#REF!,"AAAAAB+//3s=",0)</f>
        <v>#REF!</v>
      </c>
      <c r="DU7" t="e">
        <f>IF(#REF!,"AAAAAB+//3w=",0)</f>
        <v>#REF!</v>
      </c>
      <c r="DV7" t="e">
        <f>IF(#REF!,"AAAAAB+//30=",0)</f>
        <v>#REF!</v>
      </c>
      <c r="DW7" t="e">
        <f>IF(#REF!,"AAAAAB+//34=",0)</f>
        <v>#REF!</v>
      </c>
      <c r="DX7" t="e">
        <f>IF(#REF!,"AAAAAB+//38=",0)</f>
        <v>#REF!</v>
      </c>
      <c r="DY7" t="e">
        <f>IF(#REF!,"AAAAAB+//4A=",0)</f>
        <v>#REF!</v>
      </c>
      <c r="DZ7" t="e">
        <f>IF(#REF!,"AAAAAB+//4E=",0)</f>
        <v>#REF!</v>
      </c>
      <c r="EA7" t="e">
        <f>IF(#REF!,"AAAAAB+//4I=",0)</f>
        <v>#REF!</v>
      </c>
      <c r="EB7" t="e">
        <f>IF(#REF!,"AAAAAB+//4M=",0)</f>
        <v>#REF!</v>
      </c>
      <c r="EC7" t="e">
        <f>IF(#REF!,"AAAAAB+//4Q=",0)</f>
        <v>#REF!</v>
      </c>
      <c r="ED7" t="e">
        <f>IF(#REF!,"AAAAAB+//4U=",0)</f>
        <v>#REF!</v>
      </c>
      <c r="EE7" t="e">
        <f>IF(#REF!,"AAAAAB+//4Y=",0)</f>
        <v>#REF!</v>
      </c>
      <c r="EF7" t="e">
        <f>IF(#REF!,"AAAAAB+//4c=",0)</f>
        <v>#REF!</v>
      </c>
      <c r="EG7" t="e">
        <f>IF(#REF!,"AAAAAB+//4g=",0)</f>
        <v>#REF!</v>
      </c>
      <c r="EH7" t="e">
        <f>IF(#REF!,"AAAAAB+//4k=",0)</f>
        <v>#REF!</v>
      </c>
      <c r="EI7" t="e">
        <f>IF(#REF!,"AAAAAB+//4o=",0)</f>
        <v>#REF!</v>
      </c>
      <c r="EJ7" t="e">
        <f>IF(#REF!,"AAAAAB+//4s=",0)</f>
        <v>#REF!</v>
      </c>
      <c r="EK7" t="e">
        <f>IF(#REF!,"AAAAAB+//4w=",0)</f>
        <v>#REF!</v>
      </c>
      <c r="EL7" t="e">
        <f>IF(#REF!,"AAAAAB+//40=",0)</f>
        <v>#REF!</v>
      </c>
      <c r="EM7" t="e">
        <f>IF(#REF!,"AAAAAB+//44=",0)</f>
        <v>#REF!</v>
      </c>
      <c r="EN7" t="e">
        <f>IF(#REF!,"AAAAAB+//48=",0)</f>
        <v>#REF!</v>
      </c>
      <c r="EO7" t="e">
        <f>IF(#REF!,"AAAAAB+//5A=",0)</f>
        <v>#REF!</v>
      </c>
      <c r="EP7" t="e">
        <f>IF(#REF!,"AAAAAB+//5E=",0)</f>
        <v>#REF!</v>
      </c>
      <c r="EQ7" t="e">
        <f>IF(#REF!,"AAAAAB+//5I=",0)</f>
        <v>#REF!</v>
      </c>
      <c r="ER7" t="e">
        <f>IF(#REF!,"AAAAAB+//5M=",0)</f>
        <v>#REF!</v>
      </c>
      <c r="ES7" t="e">
        <f>IF(#REF!,"AAAAAB+//5Q=",0)</f>
        <v>#REF!</v>
      </c>
      <c r="ET7" t="e">
        <f>IF(#REF!,"AAAAAB+//5U=",0)</f>
        <v>#REF!</v>
      </c>
      <c r="EU7" t="e">
        <f>IF(#REF!,"AAAAAB+//5Y=",0)</f>
        <v>#REF!</v>
      </c>
      <c r="EV7" t="e">
        <f>IF(#REF!,"AAAAAB+//5c=",0)</f>
        <v>#REF!</v>
      </c>
      <c r="EW7" t="e">
        <f>IF(#REF!,"AAAAAB+//5g=",0)</f>
        <v>#REF!</v>
      </c>
      <c r="EX7" t="e">
        <f>IF(#REF!,"AAAAAB+//5k=",0)</f>
        <v>#REF!</v>
      </c>
      <c r="EY7" t="e">
        <f>IF(#REF!,"AAAAAB+//5o=",0)</f>
        <v>#REF!</v>
      </c>
      <c r="EZ7" t="e">
        <f>IF(#REF!,"AAAAAB+//5s=",0)</f>
        <v>#REF!</v>
      </c>
      <c r="FA7" t="e">
        <f>IF(#REF!,"AAAAAB+//5w=",0)</f>
        <v>#REF!</v>
      </c>
      <c r="FB7" t="e">
        <f>IF(#REF!,"AAAAAB+//50=",0)</f>
        <v>#REF!</v>
      </c>
      <c r="FC7" t="e">
        <f>IF(#REF!,"AAAAAB+//54=",0)</f>
        <v>#REF!</v>
      </c>
      <c r="FD7" t="e">
        <f>IF(#REF!,"AAAAAB+//58=",0)</f>
        <v>#REF!</v>
      </c>
      <c r="FE7" t="e">
        <f>IF(#REF!,"AAAAAB+//6A=",0)</f>
        <v>#REF!</v>
      </c>
      <c r="FF7" t="e">
        <f>IF(#REF!,"AAAAAB+//6E=",0)</f>
        <v>#REF!</v>
      </c>
      <c r="FG7" t="e">
        <f>IF(#REF!,"AAAAAB+//6I=",0)</f>
        <v>#REF!</v>
      </c>
      <c r="FH7" t="e">
        <f>AND(#REF!,"AAAAAB+//6M=")</f>
        <v>#REF!</v>
      </c>
      <c r="FI7" t="e">
        <f>AND(#REF!,"AAAAAB+//6Q=")</f>
        <v>#REF!</v>
      </c>
      <c r="FJ7" t="e">
        <f>AND(#REF!,"AAAAAB+//6U=")</f>
        <v>#REF!</v>
      </c>
      <c r="FK7" t="e">
        <f>AND(#REF!,"AAAAAB+//6Y=")</f>
        <v>#REF!</v>
      </c>
      <c r="FL7" t="e">
        <f>AND(#REF!,"AAAAAB+//6c=")</f>
        <v>#REF!</v>
      </c>
      <c r="FM7" t="e">
        <f>AND(#REF!,"AAAAAB+//6g=")</f>
        <v>#REF!</v>
      </c>
      <c r="FN7" t="e">
        <f>IF(#REF!,"AAAAAB+//6k=",0)</f>
        <v>#REF!</v>
      </c>
      <c r="FO7" t="e">
        <f>AND(#REF!,"AAAAAB+//6o=")</f>
        <v>#REF!</v>
      </c>
      <c r="FP7" t="e">
        <f>AND(#REF!,"AAAAAB+//6s=")</f>
        <v>#REF!</v>
      </c>
      <c r="FQ7" t="e">
        <f>AND(#REF!,"AAAAAB+//6w=")</f>
        <v>#REF!</v>
      </c>
      <c r="FR7" t="e">
        <f>AND(#REF!,"AAAAAB+//60=")</f>
        <v>#REF!</v>
      </c>
      <c r="FS7" t="e">
        <f>AND(#REF!,"AAAAAB+//64=")</f>
        <v>#REF!</v>
      </c>
      <c r="FT7" t="e">
        <f>AND(#REF!,"AAAAAB+//68=")</f>
        <v>#REF!</v>
      </c>
      <c r="FU7" t="e">
        <f>IF(#REF!,"AAAAAB+//7A=",0)</f>
        <v>#REF!</v>
      </c>
      <c r="FV7" t="e">
        <f>AND(#REF!,"AAAAAB+//7E=")</f>
        <v>#REF!</v>
      </c>
      <c r="FW7" t="e">
        <f>AND(#REF!,"AAAAAB+//7I=")</f>
        <v>#REF!</v>
      </c>
      <c r="FX7" t="e">
        <f>AND(#REF!,"AAAAAB+//7M=")</f>
        <v>#REF!</v>
      </c>
      <c r="FY7" t="e">
        <f>AND(#REF!,"AAAAAB+//7Q=")</f>
        <v>#REF!</v>
      </c>
      <c r="FZ7" t="e">
        <f>AND(#REF!,"AAAAAB+//7U=")</f>
        <v>#REF!</v>
      </c>
      <c r="GA7" t="e">
        <f>AND(#REF!,"AAAAAB+//7Y=")</f>
        <v>#REF!</v>
      </c>
      <c r="GB7" t="e">
        <f>IF(#REF!,"AAAAAB+//7c=",0)</f>
        <v>#REF!</v>
      </c>
      <c r="GC7" t="e">
        <f>AND(#REF!,"AAAAAB+//7g=")</f>
        <v>#REF!</v>
      </c>
      <c r="GD7" t="e">
        <f>AND(#REF!,"AAAAAB+//7k=")</f>
        <v>#REF!</v>
      </c>
      <c r="GE7" t="e">
        <f>AND(#REF!,"AAAAAB+//7o=")</f>
        <v>#REF!</v>
      </c>
      <c r="GF7" t="e">
        <f>AND(#REF!,"AAAAAB+//7s=")</f>
        <v>#REF!</v>
      </c>
      <c r="GG7" t="e">
        <f>AND(#REF!,"AAAAAB+//7w=")</f>
        <v>#REF!</v>
      </c>
      <c r="GH7" t="e">
        <f>AND(#REF!,"AAAAAB+//70=")</f>
        <v>#REF!</v>
      </c>
      <c r="GI7" t="e">
        <f>IF(#REF!,"AAAAAB+//74=",0)</f>
        <v>#REF!</v>
      </c>
      <c r="GJ7" t="e">
        <f>IF(#REF!,"AAAAAB+//78=",0)</f>
        <v>#REF!</v>
      </c>
      <c r="GK7" t="e">
        <f>IF(#REF!,"AAAAAB+//8A=",0)</f>
        <v>#REF!</v>
      </c>
      <c r="GL7" t="e">
        <f>IF(#REF!,"AAAAAB+//8E=",0)</f>
        <v>#REF!</v>
      </c>
      <c r="GM7" t="e">
        <f>IF(#REF!,"AAAAAB+//8I=",0)</f>
        <v>#REF!</v>
      </c>
      <c r="GN7" t="e">
        <f>IF(#REF!,"AAAAAB+//8M=",0)</f>
        <v>#REF!</v>
      </c>
      <c r="GO7" t="e">
        <f>IF(#REF!,"AAAAAB+//8Q=",0)</f>
        <v>#REF!</v>
      </c>
      <c r="GP7" t="e">
        <f>IF(#REF!,"AAAAAB+//8U=",0)</f>
        <v>#REF!</v>
      </c>
      <c r="GQ7" t="e">
        <f>IF(#REF!,"AAAAAB+//8Y=",0)</f>
        <v>#REF!</v>
      </c>
      <c r="GR7" t="e">
        <f>IF(#REF!,"AAAAAB+//8c=",0)</f>
        <v>#REF!</v>
      </c>
      <c r="GS7" t="e">
        <f>IF(#REF!,"AAAAAB+//8g=",0)</f>
        <v>#REF!</v>
      </c>
      <c r="GT7" t="e">
        <f>IF(#REF!,"AAAAAB+//8k=",0)</f>
        <v>#REF!</v>
      </c>
      <c r="GU7" t="e">
        <f>IF(#REF!,"AAAAAB+//8o=",0)</f>
        <v>#REF!</v>
      </c>
      <c r="GV7" t="e">
        <f>IF(#REF!,"AAAAAB+//8s=",0)</f>
        <v>#REF!</v>
      </c>
      <c r="GW7" t="e">
        <f>IF(#REF!,"AAAAAB+//8w=",0)</f>
        <v>#REF!</v>
      </c>
      <c r="GX7" t="e">
        <f>IF(#REF!,"AAAAAB+//80=",0)</f>
        <v>#REF!</v>
      </c>
      <c r="GY7" t="e">
        <f>IF(#REF!,"AAAAAB+//84=",0)</f>
        <v>#REF!</v>
      </c>
      <c r="GZ7" t="e">
        <f>IF(#REF!,"AAAAAB+//88=",0)</f>
        <v>#REF!</v>
      </c>
      <c r="HA7" t="e">
        <f>IF(#REF!,"AAAAAB+//9A=",0)</f>
        <v>#REF!</v>
      </c>
      <c r="HB7" t="e">
        <f>IF(#REF!,"AAAAAB+//9E=",0)</f>
        <v>#REF!</v>
      </c>
      <c r="HC7" t="e">
        <f>IF(#REF!,"AAAAAB+//9I=",0)</f>
        <v>#REF!</v>
      </c>
      <c r="HD7" t="e">
        <f>IF(#REF!,"AAAAAB+//9M=",0)</f>
        <v>#REF!</v>
      </c>
      <c r="HE7" t="e">
        <f>IF(#REF!,"AAAAAB+//9Q=",0)</f>
        <v>#REF!</v>
      </c>
      <c r="HF7" t="e">
        <f>IF(#REF!,"AAAAAB+//9U=",0)</f>
        <v>#REF!</v>
      </c>
      <c r="HG7" t="e">
        <f>IF(#REF!,"AAAAAB+//9Y=",0)</f>
        <v>#REF!</v>
      </c>
      <c r="HH7" t="e">
        <f>IF(#REF!,"AAAAAB+//9c=",0)</f>
        <v>#REF!</v>
      </c>
      <c r="HI7" t="e">
        <f>IF(#REF!,"AAAAAB+//9g=",0)</f>
        <v>#REF!</v>
      </c>
      <c r="HJ7" t="e">
        <f>IF(#REF!,"AAAAAB+//9k=",0)</f>
        <v>#REF!</v>
      </c>
      <c r="HK7" t="e">
        <f>IF(#REF!,"AAAAAB+//9o=",0)</f>
        <v>#REF!</v>
      </c>
      <c r="HL7" t="e">
        <f>IF(#REF!,"AAAAAB+//9s=",0)</f>
        <v>#REF!</v>
      </c>
      <c r="HM7" t="e">
        <f>IF(#REF!,"AAAAAB+//9w=",0)</f>
        <v>#REF!</v>
      </c>
      <c r="HN7" t="e">
        <f>IF(#REF!,"AAAAAB+//90=",0)</f>
        <v>#REF!</v>
      </c>
      <c r="HO7" t="e">
        <f>IF(#REF!,"AAAAAB+//94=",0)</f>
        <v>#REF!</v>
      </c>
      <c r="HP7" t="e">
        <f>IF(#REF!,"AAAAAB+//98=",0)</f>
        <v>#REF!</v>
      </c>
      <c r="HQ7" t="e">
        <f>IF(#REF!,"AAAAAB+//+A=",0)</f>
        <v>#REF!</v>
      </c>
      <c r="HR7" t="e">
        <f>IF(#REF!,"AAAAAB+//+E=",0)</f>
        <v>#REF!</v>
      </c>
      <c r="HS7" t="e">
        <f>IF(#REF!,"AAAAAB+//+I=",0)</f>
        <v>#REF!</v>
      </c>
      <c r="HT7" t="e">
        <f>IF(#REF!,"AAAAAB+//+M=",0)</f>
        <v>#REF!</v>
      </c>
      <c r="HU7" t="e">
        <f>IF(#REF!,"AAAAAB+//+Q=",0)</f>
        <v>#REF!</v>
      </c>
      <c r="HV7" t="e">
        <f>IF(#REF!,"AAAAAB+//+U=",0)</f>
        <v>#REF!</v>
      </c>
      <c r="HW7" t="e">
        <f>IF(#REF!,"AAAAAB+//+Y=",0)</f>
        <v>#REF!</v>
      </c>
      <c r="HX7" t="e">
        <f>IF(#REF!,"AAAAAB+//+c=",0)</f>
        <v>#REF!</v>
      </c>
      <c r="HY7" t="e">
        <f>IF(#REF!,"AAAAAB+//+g=",0)</f>
        <v>#REF!</v>
      </c>
      <c r="HZ7" t="e">
        <f>IF(#REF!,"AAAAAB+//+k=",0)</f>
        <v>#REF!</v>
      </c>
      <c r="IA7" t="e">
        <f>IF(#REF!,"AAAAAB+//+o=",0)</f>
        <v>#REF!</v>
      </c>
      <c r="IB7" t="e">
        <f>IF(#REF!,"AAAAAB+//+s=",0)</f>
        <v>#REF!</v>
      </c>
      <c r="IC7" t="e">
        <f>IF(#REF!,"AAAAAB+//+w=",0)</f>
        <v>#REF!</v>
      </c>
      <c r="ID7" t="e">
        <f>IF(#REF!,"AAAAAB+//+0=",0)</f>
        <v>#REF!</v>
      </c>
      <c r="IE7" t="e">
        <f>IF(#REF!,"AAAAAB+//+4=",0)</f>
        <v>#REF!</v>
      </c>
      <c r="IF7" t="e">
        <f>IF(#REF!,"AAAAAB+//+8=",0)</f>
        <v>#REF!</v>
      </c>
      <c r="IG7" t="e">
        <f>IF(#REF!,"AAAAAB+///A=",0)</f>
        <v>#REF!</v>
      </c>
      <c r="IH7" t="e">
        <f>IF(#REF!,"AAAAAB+///E=",0)</f>
        <v>#REF!</v>
      </c>
      <c r="II7" t="e">
        <f>IF(#REF!,"AAAAAB+///I=",0)</f>
        <v>#REF!</v>
      </c>
      <c r="IJ7" t="e">
        <f>IF(#REF!,"AAAAAB+///M=",0)</f>
        <v>#REF!</v>
      </c>
      <c r="IK7" t="e">
        <f>IF(#REF!,"AAAAAB+///Q=",0)</f>
        <v>#REF!</v>
      </c>
      <c r="IL7" t="e">
        <f>IF(#REF!,"AAAAAB+///U=",0)</f>
        <v>#REF!</v>
      </c>
      <c r="IM7" t="e">
        <f>IF(#REF!,"AAAAAB+///Y=",0)</f>
        <v>#REF!</v>
      </c>
      <c r="IN7" t="e">
        <f>IF(#REF!,"AAAAAB+///c=",0)</f>
        <v>#REF!</v>
      </c>
      <c r="IO7" t="e">
        <f>IF(#REF!,"AAAAAB+///g=",0)</f>
        <v>#REF!</v>
      </c>
      <c r="IP7" t="e">
        <f>IF(#REF!,"AAAAAB+///k=",0)</f>
        <v>#REF!</v>
      </c>
      <c r="IQ7" t="e">
        <f>IF(#REF!,"AAAAAB+///o=",0)</f>
        <v>#REF!</v>
      </c>
      <c r="IR7" t="e">
        <f>IF(#REF!,"AAAAAB+///s=",0)</f>
        <v>#REF!</v>
      </c>
      <c r="IS7" t="e">
        <f>IF(#REF!,"AAAAAB+///w=",0)</f>
        <v>#REF!</v>
      </c>
      <c r="IT7" t="e">
        <f>IF(#REF!,"AAAAAB+///0=",0)</f>
        <v>#REF!</v>
      </c>
      <c r="IU7" t="e">
        <f>IF(#REF!,"AAAAAB+///4=",0)</f>
        <v>#REF!</v>
      </c>
      <c r="IV7" t="e">
        <f>IF(#REF!,"AAAAAB+///8=",0)</f>
        <v>#REF!</v>
      </c>
    </row>
    <row r="8" spans="1:256" ht="12.75">
      <c r="A8" t="e">
        <f>IF(#REF!,"AAAAAH/+mQA=",0)</f>
        <v>#REF!</v>
      </c>
      <c r="B8" t="e">
        <f>IF(#REF!,"AAAAAH/+mQE=",0)</f>
        <v>#REF!</v>
      </c>
      <c r="C8" t="e">
        <f>IF(#REF!,"AAAAAH/+mQI=",0)</f>
        <v>#REF!</v>
      </c>
      <c r="D8" t="e">
        <f>IF(#REF!,"AAAAAH/+mQM=",0)</f>
        <v>#REF!</v>
      </c>
      <c r="E8" t="e">
        <f>IF(#REF!,"AAAAAH/+mQQ=",0)</f>
        <v>#REF!</v>
      </c>
      <c r="F8" t="e">
        <f>IF(#REF!,"AAAAAH/+mQU=",0)</f>
        <v>#REF!</v>
      </c>
      <c r="G8" t="e">
        <f>IF(#REF!,"AAAAAH/+mQY=",0)</f>
        <v>#REF!</v>
      </c>
      <c r="H8" t="e">
        <f>IF(#REF!,"AAAAAH/+mQc=",0)</f>
        <v>#REF!</v>
      </c>
      <c r="I8" t="e">
        <f>IF(#REF!,"AAAAAH/+mQg=",0)</f>
        <v>#REF!</v>
      </c>
      <c r="J8" t="e">
        <f>IF(#REF!,"AAAAAH/+mQk=",0)</f>
        <v>#REF!</v>
      </c>
      <c r="K8" t="e">
        <f>IF(#REF!,"AAAAAH/+mQo=",0)</f>
        <v>#REF!</v>
      </c>
      <c r="L8" t="e">
        <f>IF(#REF!,"AAAAAH/+mQs=",0)</f>
        <v>#REF!</v>
      </c>
      <c r="M8" t="e">
        <f>IF(#REF!,"AAAAAH/+mQw=",0)</f>
        <v>#REF!</v>
      </c>
      <c r="N8" t="e">
        <f>IF(#REF!,"AAAAAH/+mQ0=",0)</f>
        <v>#REF!</v>
      </c>
      <c r="O8" t="e">
        <f>IF(#REF!,"AAAAAH/+mQ4=",0)</f>
        <v>#REF!</v>
      </c>
      <c r="P8" t="e">
        <f>IF(#REF!,"AAAAAH/+mQ8=",0)</f>
        <v>#REF!</v>
      </c>
      <c r="Q8" t="e">
        <f>IF(#REF!,"AAAAAH/+mRA=",0)</f>
        <v>#REF!</v>
      </c>
      <c r="R8" t="e">
        <f>IF(#REF!,"AAAAAH/+mRE=",0)</f>
        <v>#REF!</v>
      </c>
      <c r="S8" t="e">
        <f>IF(#REF!,"AAAAAH/+mRI=",0)</f>
        <v>#REF!</v>
      </c>
      <c r="T8" t="e">
        <f>IF(#REF!,"AAAAAH/+mRM=",0)</f>
        <v>#REF!</v>
      </c>
      <c r="U8" t="e">
        <f>IF(#REF!,"AAAAAH/+mRQ=",0)</f>
        <v>#REF!</v>
      </c>
      <c r="V8" t="e">
        <f>IF(#REF!,"AAAAAH/+mRU=",0)</f>
        <v>#REF!</v>
      </c>
      <c r="W8" t="e">
        <f>IF(#REF!,"AAAAAH/+mRY=",0)</f>
        <v>#REF!</v>
      </c>
      <c r="X8" t="e">
        <f>IF(#REF!,"AAAAAH/+mRc=",0)</f>
        <v>#REF!</v>
      </c>
      <c r="Y8" t="e">
        <f>IF(#REF!,"AAAAAH/+mRg=",0)</f>
        <v>#REF!</v>
      </c>
      <c r="Z8" t="e">
        <f>IF(#REF!,"AAAAAH/+mRk=",0)</f>
        <v>#REF!</v>
      </c>
      <c r="AA8" t="e">
        <f>IF(#REF!,"AAAAAH/+mRo=",0)</f>
        <v>#REF!</v>
      </c>
      <c r="AB8" t="e">
        <f>IF(#REF!,"AAAAAH/+mRs=",0)</f>
        <v>#REF!</v>
      </c>
      <c r="AC8" t="e">
        <f>IF(#REF!,"AAAAAH/+mRw=",0)</f>
        <v>#REF!</v>
      </c>
      <c r="AD8" t="e">
        <f>IF(#REF!,"AAAAAH/+mR0=",0)</f>
        <v>#REF!</v>
      </c>
      <c r="AE8" t="e">
        <f>IF(#REF!,"AAAAAH/+mR4=",0)</f>
        <v>#REF!</v>
      </c>
      <c r="AF8" t="e">
        <f>IF(#REF!,"AAAAAH/+mR8=",0)</f>
        <v>#REF!</v>
      </c>
      <c r="AG8" t="e">
        <f>IF(#REF!,"AAAAAH/+mSA=",0)</f>
        <v>#REF!</v>
      </c>
      <c r="AH8" t="e">
        <f>IF(#REF!,"AAAAAH/+mSE=",0)</f>
        <v>#REF!</v>
      </c>
      <c r="AI8" t="e">
        <f>IF(#REF!,"AAAAAH/+mSI=",0)</f>
        <v>#REF!</v>
      </c>
      <c r="AJ8" t="e">
        <f>IF(#REF!,"AAAAAH/+mSM=",0)</f>
        <v>#REF!</v>
      </c>
      <c r="AK8" t="e">
        <f>IF(#REF!,"AAAAAH/+mSQ=",0)</f>
        <v>#REF!</v>
      </c>
      <c r="AL8" t="e">
        <f>IF(#REF!,"AAAAAH/+mSU=",0)</f>
        <v>#REF!</v>
      </c>
      <c r="AM8" t="e">
        <f>IF(#REF!,"AAAAAH/+mSY=",0)</f>
        <v>#REF!</v>
      </c>
      <c r="AN8" t="e">
        <f>IF(#REF!,"AAAAAH/+mSc=",0)</f>
        <v>#REF!</v>
      </c>
      <c r="AO8" t="e">
        <f>IF(#REF!,"AAAAAH/+mSg=",0)</f>
        <v>#REF!</v>
      </c>
      <c r="AP8" t="e">
        <f>IF(#REF!,"AAAAAH/+mSk=",0)</f>
        <v>#REF!</v>
      </c>
      <c r="AQ8" t="e">
        <f>IF(#REF!,"AAAAAH/+mSo=",0)</f>
        <v>#REF!</v>
      </c>
      <c r="AR8" t="e">
        <f>IF(#REF!,"AAAAAH/+mSs=",0)</f>
        <v>#REF!</v>
      </c>
      <c r="AS8" t="e">
        <f>IF(#REF!,"AAAAAH/+mSw=",0)</f>
        <v>#REF!</v>
      </c>
      <c r="AT8" t="e">
        <f>IF(#REF!,"AAAAAH/+mS0=",0)</f>
        <v>#REF!</v>
      </c>
      <c r="AU8" t="e">
        <f>IF(#REF!,"AAAAAH/+mS4=",0)</f>
        <v>#REF!</v>
      </c>
      <c r="AV8" t="e">
        <f>IF(#REF!,"AAAAAH/+mS8=",0)</f>
        <v>#REF!</v>
      </c>
      <c r="AW8" t="e">
        <f>IF(#REF!,"AAAAAH/+mTA=",0)</f>
        <v>#REF!</v>
      </c>
      <c r="AX8" t="e">
        <f>IF(#REF!,"AAAAAH/+mTE=",0)</f>
        <v>#REF!</v>
      </c>
      <c r="AY8" t="e">
        <f>IF(#REF!,"AAAAAH/+mTI=",0)</f>
        <v>#REF!</v>
      </c>
      <c r="AZ8" t="e">
        <f>IF(#REF!,"AAAAAH/+mTM=",0)</f>
        <v>#REF!</v>
      </c>
      <c r="BA8" t="e">
        <f>IF(#REF!,"AAAAAH/+mTQ=",0)</f>
        <v>#REF!</v>
      </c>
      <c r="BB8" t="e">
        <f>IF(#REF!,"AAAAAH/+mTU=",0)</f>
        <v>#REF!</v>
      </c>
      <c r="BC8" t="e">
        <f>IF(#REF!,"AAAAAH/+mTY=",0)</f>
        <v>#REF!</v>
      </c>
      <c r="BD8" t="e">
        <f>IF(#REF!,"AAAAAH/+mTc=",0)</f>
        <v>#REF!</v>
      </c>
      <c r="BE8" t="e">
        <f>IF(#REF!,"AAAAAH/+mTg=",0)</f>
        <v>#REF!</v>
      </c>
      <c r="BF8" t="e">
        <f>IF(#REF!,"AAAAAH/+mTk=",0)</f>
        <v>#REF!</v>
      </c>
      <c r="BG8" t="e">
        <f>IF(#REF!,"AAAAAH/+mTo=",0)</f>
        <v>#REF!</v>
      </c>
      <c r="BH8" t="e">
        <f>IF(#REF!,"AAAAAH/+mTs=",0)</f>
        <v>#REF!</v>
      </c>
      <c r="BI8" t="e">
        <f>IF(#REF!,"AAAAAH/+mTw=",0)</f>
        <v>#REF!</v>
      </c>
      <c r="BJ8" t="e">
        <f>IF(#REF!,"AAAAAH/+mT0=",0)</f>
        <v>#REF!</v>
      </c>
      <c r="BK8" t="e">
        <f>IF(#REF!,"AAAAAH/+mT4=",0)</f>
        <v>#REF!</v>
      </c>
      <c r="BL8" t="e">
        <f>IF(#REF!,"AAAAAH/+mT8=",0)</f>
        <v>#REF!</v>
      </c>
      <c r="BM8" t="e">
        <f>IF(#REF!,"AAAAAH/+mUA=",0)</f>
        <v>#REF!</v>
      </c>
      <c r="BN8" t="e">
        <f>IF(#REF!,"AAAAAH/+mUE=",0)</f>
        <v>#REF!</v>
      </c>
      <c r="BO8" t="e">
        <f>IF(#REF!,"AAAAAH/+mUI=",0)</f>
        <v>#REF!</v>
      </c>
      <c r="BP8" t="e">
        <f>IF(#REF!,"AAAAAH/+mUM=",0)</f>
        <v>#REF!</v>
      </c>
      <c r="BQ8" t="e">
        <f>IF(#REF!,"AAAAAH/+mUQ=",0)</f>
        <v>#REF!</v>
      </c>
      <c r="BR8" t="e">
        <f>IF(#REF!,"AAAAAH/+mUU=",0)</f>
        <v>#REF!</v>
      </c>
      <c r="BS8" t="e">
        <f>IF(#REF!,"AAAAAH/+mUY=",0)</f>
        <v>#REF!</v>
      </c>
      <c r="BT8" t="e">
        <f>IF(#REF!,"AAAAAH/+mUc=",0)</f>
        <v>#REF!</v>
      </c>
      <c r="BU8" t="e">
        <f>IF(#REF!,"AAAAAH/+mUg=",0)</f>
        <v>#REF!</v>
      </c>
      <c r="BV8" t="e">
        <f>IF(#REF!,"AAAAAH/+mUk=",0)</f>
        <v>#REF!</v>
      </c>
      <c r="BW8" t="e">
        <f>IF(#REF!,"AAAAAH/+mUo=",0)</f>
        <v>#REF!</v>
      </c>
      <c r="BX8" t="e">
        <f>IF(#REF!,"AAAAAH/+mUs=",0)</f>
        <v>#REF!</v>
      </c>
      <c r="BY8" t="e">
        <f>IF(#REF!,"AAAAAH/+mUw=",0)</f>
        <v>#REF!</v>
      </c>
      <c r="BZ8" t="e">
        <f>IF(#REF!,"AAAAAH/+mU0=",0)</f>
        <v>#REF!</v>
      </c>
      <c r="CA8" t="e">
        <f>IF(#REF!,"AAAAAH/+mU4=",0)</f>
        <v>#REF!</v>
      </c>
      <c r="CB8" t="e">
        <f>IF(#REF!,"AAAAAH/+mU8=",0)</f>
        <v>#REF!</v>
      </c>
      <c r="CC8" t="e">
        <f>IF(#REF!,"AAAAAH/+mVA=",0)</f>
        <v>#REF!</v>
      </c>
      <c r="CD8" t="e">
        <f>IF(#REF!,"AAAAAH/+mVE=",0)</f>
        <v>#REF!</v>
      </c>
      <c r="CE8" t="e">
        <f>IF(#REF!,"AAAAAH/+mVI=",0)</f>
        <v>#REF!</v>
      </c>
      <c r="CF8" t="e">
        <f>IF(#REF!,"AAAAAH/+mVM=",0)</f>
        <v>#REF!</v>
      </c>
      <c r="CG8" t="e">
        <f>IF(#REF!,"AAAAAH/+mVQ=",0)</f>
        <v>#REF!</v>
      </c>
      <c r="CH8" t="e">
        <f>IF(#REF!,"AAAAAH/+mVU=",0)</f>
        <v>#REF!</v>
      </c>
      <c r="CI8" t="e">
        <f>IF(#REF!,"AAAAAH/+mVY=",0)</f>
        <v>#REF!</v>
      </c>
      <c r="CJ8" t="e">
        <f>IF(#REF!,"AAAAAH/+mVc=",0)</f>
        <v>#REF!</v>
      </c>
      <c r="CK8" t="e">
        <f>IF(#REF!,"AAAAAH/+mVg=",0)</f>
        <v>#REF!</v>
      </c>
      <c r="CL8" t="e">
        <f>IF(#REF!,"AAAAAH/+mVk=",0)</f>
        <v>#REF!</v>
      </c>
      <c r="CM8" t="e">
        <f>IF(#REF!,"AAAAAH/+mVo=",0)</f>
        <v>#REF!</v>
      </c>
      <c r="CN8" t="e">
        <f>IF(#REF!,"AAAAAH/+mVs=",0)</f>
        <v>#REF!</v>
      </c>
      <c r="CO8" t="e">
        <f>IF(#REF!,"AAAAAH/+mVw=",0)</f>
        <v>#REF!</v>
      </c>
      <c r="CP8" t="e">
        <f>IF(#REF!,"AAAAAH/+mV0=",0)</f>
        <v>#REF!</v>
      </c>
      <c r="CQ8" t="e">
        <f>IF(#REF!,"AAAAAH/+mV4=",0)</f>
        <v>#REF!</v>
      </c>
      <c r="CR8" t="e">
        <f>IF(#REF!,"AAAAAH/+mV8=",0)</f>
        <v>#REF!</v>
      </c>
      <c r="CS8" t="e">
        <f>IF(#REF!,"AAAAAH/+mWA=",0)</f>
        <v>#REF!</v>
      </c>
      <c r="CT8" t="e">
        <f>IF(#REF!,"AAAAAH/+mWE=",0)</f>
        <v>#REF!</v>
      </c>
      <c r="CU8" t="e">
        <f>IF(#REF!,"AAAAAH/+mWI=",0)</f>
        <v>#REF!</v>
      </c>
      <c r="CV8" t="e">
        <f>IF(#REF!,"AAAAAH/+mWM=",0)</f>
        <v>#REF!</v>
      </c>
      <c r="CW8" t="e">
        <f>IF(#REF!,"AAAAAH/+mWQ=",0)</f>
        <v>#REF!</v>
      </c>
      <c r="CX8" t="e">
        <f>IF(#REF!,"AAAAAH/+mWU=",0)</f>
        <v>#REF!</v>
      </c>
      <c r="CY8" t="e">
        <f>IF(#REF!,"AAAAAH/+mWY=",0)</f>
        <v>#REF!</v>
      </c>
      <c r="CZ8" t="e">
        <f>IF(#REF!,"AAAAAH/+mWc=",0)</f>
        <v>#REF!</v>
      </c>
      <c r="DA8" t="e">
        <f>IF(#REF!,"AAAAAH/+mWg=",0)</f>
        <v>#REF!</v>
      </c>
      <c r="DB8" t="e">
        <f>IF(#REF!,"AAAAAH/+mWk=",0)</f>
        <v>#REF!</v>
      </c>
      <c r="DC8" t="e">
        <f>IF(#REF!,"AAAAAH/+mWo=",0)</f>
        <v>#REF!</v>
      </c>
      <c r="DD8" t="e">
        <f>IF(#REF!,"AAAAAH/+mWs=",0)</f>
        <v>#REF!</v>
      </c>
      <c r="DE8" t="e">
        <f>IF(#REF!,"AAAAAH/+mWw=",0)</f>
        <v>#REF!</v>
      </c>
      <c r="DF8" t="e">
        <f>IF(#REF!,"AAAAAH/+mW0=",0)</f>
        <v>#REF!</v>
      </c>
      <c r="DG8" t="e">
        <f>IF(#REF!,"AAAAAH/+mW4=",0)</f>
        <v>#REF!</v>
      </c>
      <c r="DH8" t="e">
        <f>IF(#REF!,"AAAAAH/+mW8=",0)</f>
        <v>#REF!</v>
      </c>
      <c r="DI8" t="e">
        <f>IF(#REF!,"AAAAAH/+mXA=",0)</f>
        <v>#REF!</v>
      </c>
      <c r="DJ8" t="e">
        <f>IF(#REF!,"AAAAAH/+mXE=",0)</f>
        <v>#REF!</v>
      </c>
      <c r="DK8" t="e">
        <f>IF(#REF!,"AAAAAH/+mXI=",0)</f>
        <v>#REF!</v>
      </c>
      <c r="DL8" t="e">
        <f>IF(#REF!,"AAAAAH/+mXM=",0)</f>
        <v>#REF!</v>
      </c>
      <c r="DM8" t="e">
        <f>IF(#REF!,"AAAAAH/+mXQ=",0)</f>
        <v>#REF!</v>
      </c>
      <c r="DN8" t="e">
        <f>IF(#REF!,"AAAAAH/+mXU=",0)</f>
        <v>#REF!</v>
      </c>
      <c r="DO8" t="e">
        <f>IF(#REF!,"AAAAAH/+mXY=",0)</f>
        <v>#REF!</v>
      </c>
      <c r="DP8" t="e">
        <f>IF(#REF!,"AAAAAH/+mXc=",0)</f>
        <v>#REF!</v>
      </c>
      <c r="DQ8" t="e">
        <f>IF(#REF!,"AAAAAH/+mXg=",0)</f>
        <v>#REF!</v>
      </c>
      <c r="DR8" t="e">
        <f>IF(#REF!,"AAAAAH/+mXk=",0)</f>
        <v>#REF!</v>
      </c>
      <c r="DS8" t="e">
        <f>IF(#REF!,"AAAAAH/+mXo=",0)</f>
        <v>#REF!</v>
      </c>
      <c r="DT8" t="e">
        <f>IF(#REF!,"AAAAAH/+mXs=",0)</f>
        <v>#REF!</v>
      </c>
      <c r="DU8" t="e">
        <f>IF(#REF!,"AAAAAH/+mXw=",0)</f>
        <v>#REF!</v>
      </c>
      <c r="DV8" t="e">
        <f>IF(#REF!,"AAAAAH/+mX0=",0)</f>
        <v>#REF!</v>
      </c>
      <c r="DW8" t="e">
        <f>IF(#REF!,"AAAAAH/+mX4=",0)</f>
        <v>#REF!</v>
      </c>
      <c r="DX8" t="e">
        <f>IF(#REF!,"AAAAAH/+mX8=",0)</f>
        <v>#REF!</v>
      </c>
      <c r="DY8" t="e">
        <f>IF(#REF!,"AAAAAH/+mYA=",0)</f>
        <v>#REF!</v>
      </c>
      <c r="DZ8" t="e">
        <f>IF(#REF!,"AAAAAH/+mYE=",0)</f>
        <v>#REF!</v>
      </c>
      <c r="EA8" t="e">
        <f>IF(#REF!,"AAAAAH/+mYI=",0)</f>
        <v>#REF!</v>
      </c>
      <c r="EB8" t="e">
        <f>IF(#REF!,"AAAAAH/+mYM=",0)</f>
        <v>#REF!</v>
      </c>
      <c r="EC8" t="e">
        <f>IF(#REF!,"AAAAAH/+mYQ=",0)</f>
        <v>#REF!</v>
      </c>
      <c r="ED8" t="e">
        <f>IF(#REF!,"AAAAAH/+mYU=",0)</f>
        <v>#REF!</v>
      </c>
      <c r="EE8" t="e">
        <f>IF(#REF!,"AAAAAH/+mYY=",0)</f>
        <v>#REF!</v>
      </c>
      <c r="EF8" t="e">
        <f>IF(#REF!,"AAAAAH/+mYc=",0)</f>
        <v>#REF!</v>
      </c>
      <c r="EG8" t="e">
        <f>IF(#REF!,"AAAAAH/+mYg=",0)</f>
        <v>#REF!</v>
      </c>
      <c r="EH8" t="e">
        <f>IF(#REF!,"AAAAAH/+mYk=",0)</f>
        <v>#REF!</v>
      </c>
      <c r="EI8" t="e">
        <f>IF(#REF!,"AAAAAH/+mYo=",0)</f>
        <v>#REF!</v>
      </c>
      <c r="EJ8" t="e">
        <f>IF(#REF!,"AAAAAH/+mYs=",0)</f>
        <v>#REF!</v>
      </c>
      <c r="EK8" t="e">
        <f>IF(#REF!,"AAAAAH/+mYw=",0)</f>
        <v>#REF!</v>
      </c>
      <c r="EL8" t="e">
        <f>IF(#REF!,"AAAAAH/+mY0=",0)</f>
        <v>#REF!</v>
      </c>
      <c r="EM8" t="e">
        <f>IF(#REF!,"AAAAAH/+mY4=",0)</f>
        <v>#REF!</v>
      </c>
      <c r="EN8" t="e">
        <f>IF(#REF!,"AAAAAH/+mY8=",0)</f>
        <v>#REF!</v>
      </c>
      <c r="EO8" t="e">
        <f>IF(#REF!,"AAAAAH/+mZA=",0)</f>
        <v>#REF!</v>
      </c>
      <c r="EP8" t="e">
        <f>IF(#REF!,"AAAAAH/+mZE=",0)</f>
        <v>#REF!</v>
      </c>
      <c r="EQ8" t="e">
        <f>IF(#REF!,"AAAAAH/+mZI=",0)</f>
        <v>#REF!</v>
      </c>
      <c r="ER8" t="e">
        <f>IF(#REF!,"AAAAAH/+mZM=",0)</f>
        <v>#REF!</v>
      </c>
      <c r="ES8" t="e">
        <f>IF(#REF!,"AAAAAH/+mZQ=",0)</f>
        <v>#REF!</v>
      </c>
      <c r="ET8" t="e">
        <f>IF(#REF!,"AAAAAH/+mZU=",0)</f>
        <v>#REF!</v>
      </c>
      <c r="EU8" t="e">
        <f>IF(#REF!,"AAAAAH/+mZY=",0)</f>
        <v>#REF!</v>
      </c>
      <c r="EV8" t="e">
        <f>IF(#REF!,"AAAAAH/+mZc=",0)</f>
        <v>#REF!</v>
      </c>
      <c r="EW8" t="e">
        <f>IF(#REF!,"AAAAAH/+mZg=",0)</f>
        <v>#REF!</v>
      </c>
      <c r="EX8" t="e">
        <f>IF(#REF!,"AAAAAH/+mZk=",0)</f>
        <v>#REF!</v>
      </c>
      <c r="EY8" t="e">
        <f>IF(#REF!,"AAAAAH/+mZo=",0)</f>
        <v>#REF!</v>
      </c>
      <c r="EZ8" t="e">
        <f>IF(#REF!,"AAAAAH/+mZs=",0)</f>
        <v>#REF!</v>
      </c>
      <c r="FA8" t="e">
        <f>IF(#REF!,"AAAAAH/+mZw=",0)</f>
        <v>#REF!</v>
      </c>
      <c r="FB8" t="e">
        <f>IF(#REF!,"AAAAAH/+mZ0=",0)</f>
        <v>#REF!</v>
      </c>
      <c r="FC8" t="e">
        <f>IF(#REF!,"AAAAAH/+mZ4=",0)</f>
        <v>#REF!</v>
      </c>
      <c r="FD8" t="e">
        <f>IF(#REF!,"AAAAAH/+mZ8=",0)</f>
        <v>#REF!</v>
      </c>
      <c r="FE8" t="e">
        <f>IF(#REF!,"AAAAAH/+maA=",0)</f>
        <v>#REF!</v>
      </c>
      <c r="FF8" t="e">
        <f>IF(#REF!,"AAAAAH/+maE=",0)</f>
        <v>#REF!</v>
      </c>
      <c r="FG8" t="e">
        <f>IF(#REF!,"AAAAAH/+maI=",0)</f>
        <v>#REF!</v>
      </c>
      <c r="FH8" t="e">
        <f>IF(#REF!,"AAAAAH/+maM=",0)</f>
        <v>#REF!</v>
      </c>
      <c r="FI8" t="e">
        <f>IF(#REF!,"AAAAAH/+maQ=",0)</f>
        <v>#REF!</v>
      </c>
      <c r="FJ8" t="e">
        <f>IF(#REF!,"AAAAAH/+maU=",0)</f>
        <v>#REF!</v>
      </c>
      <c r="FK8" t="e">
        <f>IF(#REF!,"AAAAAH/+maY=",0)</f>
        <v>#REF!</v>
      </c>
      <c r="FL8" t="e">
        <f>IF(#REF!,"AAAAAH/+mac=",0)</f>
        <v>#REF!</v>
      </c>
      <c r="FM8" t="e">
        <f>IF(#REF!,"AAAAAH/+mag=",0)</f>
        <v>#REF!</v>
      </c>
      <c r="FN8" t="e">
        <f>IF(#REF!,"AAAAAH/+mak=",0)</f>
        <v>#REF!</v>
      </c>
      <c r="FO8" t="e">
        <f>IF(#REF!,"AAAAAH/+mao=",0)</f>
        <v>#REF!</v>
      </c>
      <c r="FP8" t="e">
        <f>IF(#REF!,"AAAAAH/+mas=",0)</f>
        <v>#REF!</v>
      </c>
      <c r="FQ8" t="e">
        <f>IF(#REF!,"AAAAAH/+maw=",0)</f>
        <v>#REF!</v>
      </c>
      <c r="FR8" t="e">
        <f>IF(#REF!,"AAAAAH/+ma0=",0)</f>
        <v>#REF!</v>
      </c>
      <c r="FS8" t="e">
        <f>IF(#REF!,"AAAAAH/+ma4=",0)</f>
        <v>#REF!</v>
      </c>
      <c r="FT8" t="e">
        <f>IF(#REF!,"AAAAAH/+ma8=",0)</f>
        <v>#REF!</v>
      </c>
      <c r="FU8" t="e">
        <f>IF(#REF!,"AAAAAH/+mbA=",0)</f>
        <v>#REF!</v>
      </c>
      <c r="FV8" t="e">
        <f>IF(#REF!,"AAAAAH/+mbE=",0)</f>
        <v>#REF!</v>
      </c>
      <c r="FW8" t="e">
        <f>IF(#REF!,"AAAAAH/+mbI=",0)</f>
        <v>#REF!</v>
      </c>
      <c r="FX8" t="e">
        <f>IF(#REF!,"AAAAAH/+mbM=",0)</f>
        <v>#REF!</v>
      </c>
      <c r="FY8" t="e">
        <f>IF(#REF!,"AAAAAH/+mbQ=",0)</f>
        <v>#REF!</v>
      </c>
      <c r="FZ8" t="e">
        <f>IF(#REF!,"AAAAAH/+mbU=",0)</f>
        <v>#REF!</v>
      </c>
      <c r="GA8" t="e">
        <f>IF(#REF!,"AAAAAH/+mbY=",0)</f>
        <v>#REF!</v>
      </c>
      <c r="GB8" t="e">
        <f>IF(#REF!,"AAAAAH/+mbc=",0)</f>
        <v>#REF!</v>
      </c>
      <c r="GC8" t="e">
        <f>IF(#REF!,"AAAAAH/+mbg=",0)</f>
        <v>#REF!</v>
      </c>
      <c r="GD8" t="e">
        <f>IF(#REF!,"AAAAAH/+mbk=",0)</f>
        <v>#REF!</v>
      </c>
      <c r="GE8" t="e">
        <f>IF(#REF!,"AAAAAH/+mbo=",0)</f>
        <v>#REF!</v>
      </c>
      <c r="GF8" t="e">
        <f>IF(#REF!,"AAAAAH/+mbs=",0)</f>
        <v>#REF!</v>
      </c>
      <c r="GG8" t="e">
        <f>IF(#REF!,"AAAAAH/+mbw=",0)</f>
        <v>#REF!</v>
      </c>
      <c r="GH8" t="e">
        <f>IF(#REF!,"AAAAAH/+mb0=",0)</f>
        <v>#REF!</v>
      </c>
      <c r="GI8" t="e">
        <f>IF(#REF!,"AAAAAH/+mb4=",0)</f>
        <v>#REF!</v>
      </c>
      <c r="GJ8" t="e">
        <f>IF(#REF!,"AAAAAH/+mb8=",0)</f>
        <v>#REF!</v>
      </c>
      <c r="GK8" t="e">
        <f>IF(#REF!,"AAAAAH/+mcA=",0)</f>
        <v>#REF!</v>
      </c>
      <c r="GL8" t="e">
        <f>IF(#REF!,"AAAAAH/+mcE=",0)</f>
        <v>#REF!</v>
      </c>
      <c r="GM8" t="e">
        <f>IF(#REF!,"AAAAAH/+mcI=",0)</f>
        <v>#REF!</v>
      </c>
      <c r="GN8" t="e">
        <f>IF(#REF!,"AAAAAH/+mcM=",0)</f>
        <v>#REF!</v>
      </c>
      <c r="GO8" t="e">
        <f>IF(#REF!,"AAAAAH/+mcQ=",0)</f>
        <v>#REF!</v>
      </c>
      <c r="GP8" t="e">
        <f>IF(#REF!,"AAAAAH/+mcU=",0)</f>
        <v>#REF!</v>
      </c>
      <c r="GQ8" t="e">
        <f>IF(#REF!,"AAAAAH/+mcY=",0)</f>
        <v>#REF!</v>
      </c>
      <c r="GR8" t="e">
        <f>IF(#REF!,"AAAAAH/+mcc=",0)</f>
        <v>#REF!</v>
      </c>
      <c r="GS8" t="e">
        <f>IF(#REF!,"AAAAAH/+mcg=",0)</f>
        <v>#REF!</v>
      </c>
      <c r="GT8" t="e">
        <f>IF(#REF!,"AAAAAH/+mck=",0)</f>
        <v>#REF!</v>
      </c>
      <c r="GU8" t="e">
        <f>IF(#REF!,"AAAAAH/+mco=",0)</f>
        <v>#REF!</v>
      </c>
      <c r="GV8" t="e">
        <f>IF(#REF!,"AAAAAH/+mcs=",0)</f>
        <v>#REF!</v>
      </c>
      <c r="GW8" t="e">
        <f>IF(#REF!,"AAAAAH/+mcw=",0)</f>
        <v>#REF!</v>
      </c>
      <c r="GX8" t="e">
        <f>IF(#REF!,"AAAAAH/+mc0=",0)</f>
        <v>#REF!</v>
      </c>
      <c r="GY8" t="e">
        <f>IF(#REF!,"AAAAAH/+mc4=",0)</f>
        <v>#REF!</v>
      </c>
      <c r="GZ8" t="e">
        <f>IF(#REF!,"AAAAAH/+mc8=",0)</f>
        <v>#REF!</v>
      </c>
      <c r="HA8" t="e">
        <f>IF(#REF!,"AAAAAH/+mdA=",0)</f>
        <v>#REF!</v>
      </c>
      <c r="HB8" t="e">
        <f>IF(#REF!,"AAAAAH/+mdE=",0)</f>
        <v>#REF!</v>
      </c>
      <c r="HC8" t="e">
        <f>IF(#REF!,"AAAAAH/+mdI=",0)</f>
        <v>#REF!</v>
      </c>
      <c r="HD8" t="e">
        <f>IF(#REF!,"AAAAAH/+mdM=",0)</f>
        <v>#REF!</v>
      </c>
      <c r="HE8" t="e">
        <f>IF(#REF!,"AAAAAH/+mdQ=",0)</f>
        <v>#REF!</v>
      </c>
      <c r="HF8" t="e">
        <f>IF(#REF!,"AAAAAH/+mdU=",0)</f>
        <v>#REF!</v>
      </c>
      <c r="HG8" t="e">
        <f>IF(#REF!,"AAAAAH/+mdY=",0)</f>
        <v>#REF!</v>
      </c>
      <c r="HH8" t="e">
        <f>IF(#REF!,"AAAAAH/+mdc=",0)</f>
        <v>#REF!</v>
      </c>
      <c r="HI8" t="e">
        <f>IF(#REF!,"AAAAAH/+mdg=",0)</f>
        <v>#REF!</v>
      </c>
      <c r="HJ8" t="e">
        <f>IF(#REF!,"AAAAAH/+mdk=",0)</f>
        <v>#REF!</v>
      </c>
      <c r="HK8" t="e">
        <f>IF(#REF!,"AAAAAH/+mdo=",0)</f>
        <v>#REF!</v>
      </c>
      <c r="HL8" t="e">
        <f>IF(#REF!,"AAAAAH/+mds=",0)</f>
        <v>#REF!</v>
      </c>
      <c r="HM8" t="e">
        <f>IF(#REF!,"AAAAAH/+mdw=",0)</f>
        <v>#REF!</v>
      </c>
      <c r="HN8" t="e">
        <f>IF(#REF!,"AAAAAH/+md0=",0)</f>
        <v>#REF!</v>
      </c>
      <c r="HO8" t="e">
        <f>IF(#REF!,"AAAAAH/+md4=",0)</f>
        <v>#REF!</v>
      </c>
      <c r="HP8" t="e">
        <f>IF(#REF!,"AAAAAH/+md8=",0)</f>
        <v>#REF!</v>
      </c>
      <c r="HQ8" t="e">
        <f>IF(#REF!,"AAAAAH/+meA=",0)</f>
        <v>#REF!</v>
      </c>
      <c r="HR8" t="e">
        <f>IF(#REF!,"AAAAAH/+meE=",0)</f>
        <v>#REF!</v>
      </c>
      <c r="HS8" t="e">
        <f>IF(#REF!,"AAAAAH/+meI=",0)</f>
        <v>#REF!</v>
      </c>
      <c r="HT8" t="e">
        <f>IF(#REF!,"AAAAAH/+meM=",0)</f>
        <v>#REF!</v>
      </c>
      <c r="HU8" t="e">
        <f>IF(#REF!,"AAAAAH/+meQ=",0)</f>
        <v>#REF!</v>
      </c>
      <c r="HV8" t="e">
        <f>IF(#REF!,"AAAAAH/+meU=",0)</f>
        <v>#REF!</v>
      </c>
      <c r="HW8" t="e">
        <f>IF(#REF!,"AAAAAH/+meY=",0)</f>
        <v>#REF!</v>
      </c>
      <c r="HX8" t="e">
        <f>IF(#REF!,"AAAAAH/+mec=",0)</f>
        <v>#REF!</v>
      </c>
      <c r="HY8" t="e">
        <f>IF(#REF!,"AAAAAH/+meg=",0)</f>
        <v>#REF!</v>
      </c>
      <c r="HZ8" t="e">
        <f>IF(#REF!,"AAAAAH/+mek=",0)</f>
        <v>#REF!</v>
      </c>
      <c r="IA8" t="e">
        <f>IF(#REF!,"AAAAAH/+meo=",0)</f>
        <v>#REF!</v>
      </c>
      <c r="IB8" t="e">
        <f>IF(#REF!,"AAAAAH/+mes=",0)</f>
        <v>#REF!</v>
      </c>
      <c r="IC8" t="e">
        <f>IF(#REF!,"AAAAAH/+mew=",0)</f>
        <v>#REF!</v>
      </c>
      <c r="ID8" t="e">
        <f>IF(#REF!,"AAAAAH/+me0=",0)</f>
        <v>#REF!</v>
      </c>
      <c r="IE8" t="e">
        <f>IF(#REF!,"AAAAAH/+me4=",0)</f>
        <v>#REF!</v>
      </c>
      <c r="IF8" t="e">
        <f>IF(#REF!,"AAAAAH/+me8=",0)</f>
        <v>#REF!</v>
      </c>
      <c r="IG8" t="e">
        <f>IF(#REF!,"AAAAAH/+mfA=",0)</f>
        <v>#REF!</v>
      </c>
      <c r="IH8" t="e">
        <f>IF(#REF!,"AAAAAH/+mfE=",0)</f>
        <v>#REF!</v>
      </c>
      <c r="II8" t="e">
        <f>IF(#REF!,"AAAAAH/+mfI=",0)</f>
        <v>#REF!</v>
      </c>
      <c r="IJ8" t="e">
        <f>IF(#REF!,"AAAAAH/+mfM=",0)</f>
        <v>#REF!</v>
      </c>
      <c r="IK8" t="e">
        <f>IF(#REF!,"AAAAAH/+mfQ=",0)</f>
        <v>#REF!</v>
      </c>
      <c r="IL8" t="e">
        <f>IF(#REF!,"AAAAAH/+mfU=",0)</f>
        <v>#REF!</v>
      </c>
      <c r="IM8" t="e">
        <f>IF(#REF!,"AAAAAH/+mfY=",0)</f>
        <v>#REF!</v>
      </c>
      <c r="IN8" t="e">
        <f>IF(#REF!,"AAAAAH/+mfc=",0)</f>
        <v>#REF!</v>
      </c>
      <c r="IO8" t="e">
        <f>IF(#REF!,"AAAAAH/+mfg=",0)</f>
        <v>#REF!</v>
      </c>
      <c r="IP8" t="e">
        <f>IF(#REF!,"AAAAAH/+mfk=",0)</f>
        <v>#REF!</v>
      </c>
      <c r="IQ8" t="e">
        <f>IF(#REF!,"AAAAAH/+mfo=",0)</f>
        <v>#REF!</v>
      </c>
      <c r="IR8" t="e">
        <f>IF(#REF!,"AAAAAH/+mfs=",0)</f>
        <v>#REF!</v>
      </c>
      <c r="IS8" t="e">
        <f>IF(#REF!,"AAAAAH/+mfw=",0)</f>
        <v>#REF!</v>
      </c>
      <c r="IT8" t="e">
        <f>IF(#REF!,"AAAAAH/+mf0=",0)</f>
        <v>#REF!</v>
      </c>
      <c r="IU8" t="e">
        <f>IF(#REF!,"AAAAAH/+mf4=",0)</f>
        <v>#REF!</v>
      </c>
      <c r="IV8" t="e">
        <f>IF(#REF!,"AAAAAH/+mf8=",0)</f>
        <v>#REF!</v>
      </c>
    </row>
    <row r="9" spans="1:256" ht="12.75">
      <c r="A9" t="e">
        <f>IF(#REF!,"AAAAAF3/awA=",0)</f>
        <v>#REF!</v>
      </c>
      <c r="B9" t="e">
        <f>IF(#REF!,"AAAAAF3/awE=",0)</f>
        <v>#REF!</v>
      </c>
      <c r="C9" t="e">
        <f>IF(#REF!,"AAAAAF3/awI=",0)</f>
        <v>#REF!</v>
      </c>
      <c r="D9" t="e">
        <f>IF(#REF!,"AAAAAF3/awM=",0)</f>
        <v>#REF!</v>
      </c>
      <c r="E9" t="e">
        <f>IF(#REF!,"AAAAAF3/awQ=",0)</f>
        <v>#REF!</v>
      </c>
      <c r="F9" t="e">
        <f>IF(#REF!,"AAAAAF3/awU=",0)</f>
        <v>#REF!</v>
      </c>
      <c r="G9" t="e">
        <f>IF(#REF!,"AAAAAF3/awY=",0)</f>
        <v>#REF!</v>
      </c>
      <c r="H9" t="e">
        <f>IF(#REF!,"AAAAAF3/awc=",0)</f>
        <v>#REF!</v>
      </c>
      <c r="I9" t="e">
        <f>IF(#REF!,"AAAAAF3/awg=",0)</f>
        <v>#REF!</v>
      </c>
      <c r="J9" t="e">
        <f>IF(#REF!,"AAAAAF3/awk=",0)</f>
        <v>#REF!</v>
      </c>
      <c r="K9" t="e">
        <f>IF(#REF!,"AAAAAF3/awo=",0)</f>
        <v>#REF!</v>
      </c>
      <c r="L9" t="e">
        <f>IF(#REF!,"AAAAAF3/aws=",0)</f>
        <v>#REF!</v>
      </c>
      <c r="M9" t="e">
        <f>IF(#REF!,"AAAAAF3/aww=",0)</f>
        <v>#REF!</v>
      </c>
      <c r="N9" t="e">
        <f>IF(#REF!,"AAAAAF3/aw0=",0)</f>
        <v>#REF!</v>
      </c>
      <c r="O9" t="e">
        <f>IF(#REF!,"AAAAAF3/aw4=",0)</f>
        <v>#REF!</v>
      </c>
      <c r="P9" t="e">
        <f>IF(#REF!,"AAAAAF3/aw8=",0)</f>
        <v>#REF!</v>
      </c>
      <c r="Q9" t="e">
        <f>IF(#REF!,"AAAAAF3/axA=",0)</f>
        <v>#REF!</v>
      </c>
      <c r="R9" t="e">
        <f>IF(#REF!,"AAAAAF3/axE=",0)</f>
        <v>#REF!</v>
      </c>
      <c r="S9" t="e">
        <f>IF(#REF!,"AAAAAF3/axI=",0)</f>
        <v>#REF!</v>
      </c>
      <c r="T9" t="e">
        <f>IF(#REF!,"AAAAAF3/axM=",0)</f>
        <v>#REF!</v>
      </c>
      <c r="U9" t="e">
        <f>IF(#REF!,"AAAAAF3/axQ=",0)</f>
        <v>#REF!</v>
      </c>
      <c r="V9" t="e">
        <f>IF(#REF!,"AAAAAF3/axU=",0)</f>
        <v>#REF!</v>
      </c>
      <c r="W9" t="e">
        <f>IF(#REF!,"AAAAAF3/axY=",0)</f>
        <v>#REF!</v>
      </c>
      <c r="X9" t="e">
        <f>IF(#REF!,"AAAAAF3/axc=",0)</f>
        <v>#REF!</v>
      </c>
      <c r="Y9" t="e">
        <f>IF(#REF!,"AAAAAF3/axg=",0)</f>
        <v>#REF!</v>
      </c>
      <c r="Z9" t="e">
        <f>IF(#REF!,"AAAAAF3/axk=",0)</f>
        <v>#REF!</v>
      </c>
      <c r="AA9" t="e">
        <f>IF(#REF!,"AAAAAF3/axo=",0)</f>
        <v>#REF!</v>
      </c>
      <c r="AB9" t="e">
        <f>IF(#REF!,"AAAAAF3/axs=",0)</f>
        <v>#REF!</v>
      </c>
      <c r="AC9" t="e">
        <f>IF(#REF!,"AAAAAF3/axw=",0)</f>
        <v>#REF!</v>
      </c>
      <c r="AD9" t="e">
        <f>IF(#REF!,"AAAAAF3/ax0=",0)</f>
        <v>#REF!</v>
      </c>
      <c r="AE9" t="e">
        <f>IF(#REF!,"AAAAAF3/ax4=",0)</f>
        <v>#REF!</v>
      </c>
      <c r="AF9" t="e">
        <f>IF(#REF!,"AAAAAF3/ax8=",0)</f>
        <v>#REF!</v>
      </c>
      <c r="AG9" t="e">
        <f>IF(#REF!,"AAAAAF3/ayA=",0)</f>
        <v>#REF!</v>
      </c>
      <c r="AH9" t="e">
        <f>IF(#REF!,"AAAAAF3/ayE=",0)</f>
        <v>#REF!</v>
      </c>
      <c r="AI9" t="e">
        <f>IF(#REF!,"AAAAAF3/ayI=",0)</f>
        <v>#REF!</v>
      </c>
      <c r="AJ9" t="e">
        <f>IF(#REF!,"AAAAAF3/ayM=",0)</f>
        <v>#REF!</v>
      </c>
      <c r="AK9" t="e">
        <f>IF(#REF!,"AAAAAF3/ayQ=",0)</f>
        <v>#REF!</v>
      </c>
      <c r="AL9" t="e">
        <f>IF(#REF!,"AAAAAF3/ayU=",0)</f>
        <v>#REF!</v>
      </c>
      <c r="AM9" t="e">
        <f>IF(#REF!,"AAAAAF3/ayY=",0)</f>
        <v>#REF!</v>
      </c>
      <c r="AN9" t="e">
        <f>IF(#REF!,"AAAAAF3/ayc=",0)</f>
        <v>#REF!</v>
      </c>
      <c r="AO9" t="e">
        <f>IF(#REF!,"AAAAAF3/ayg=",0)</f>
        <v>#REF!</v>
      </c>
      <c r="AP9" t="e">
        <f>IF(#REF!,"AAAAAF3/ayk=",0)</f>
        <v>#REF!</v>
      </c>
      <c r="AQ9" t="e">
        <f>IF(#REF!,"AAAAAF3/ayo=",0)</f>
        <v>#REF!</v>
      </c>
      <c r="AR9" t="e">
        <f>IF(#REF!,"AAAAAF3/ays=",0)</f>
        <v>#REF!</v>
      </c>
      <c r="AS9" t="e">
        <f>IF(#REF!,"AAAAAF3/ayw=",0)</f>
        <v>#REF!</v>
      </c>
      <c r="AT9" t="e">
        <f>IF(#REF!,"AAAAAF3/ay0=",0)</f>
        <v>#REF!</v>
      </c>
      <c r="AU9" t="e">
        <f>IF(#REF!,"AAAAAF3/ay4=",0)</f>
        <v>#REF!</v>
      </c>
      <c r="AV9" t="e">
        <f>IF(#REF!,"AAAAAF3/ay8=",0)</f>
        <v>#REF!</v>
      </c>
      <c r="AW9" t="e">
        <f>IF(#REF!,"AAAAAF3/azA=",0)</f>
        <v>#REF!</v>
      </c>
      <c r="AX9" t="e">
        <f>IF(#REF!,"AAAAAF3/azE=",0)</f>
        <v>#REF!</v>
      </c>
      <c r="AY9" t="e">
        <f>IF(#REF!,"AAAAAF3/azI=",0)</f>
        <v>#REF!</v>
      </c>
      <c r="AZ9" t="e">
        <f>IF(#REF!,"AAAAAF3/azM=",0)</f>
        <v>#REF!</v>
      </c>
      <c r="BA9" t="e">
        <f>IF(#REF!,"AAAAAF3/azQ=",0)</f>
        <v>#REF!</v>
      </c>
      <c r="BB9" t="e">
        <f>IF(#REF!,"AAAAAF3/azU=",0)</f>
        <v>#REF!</v>
      </c>
      <c r="BC9" t="e">
        <f>IF(#REF!,"AAAAAF3/azY=",0)</f>
        <v>#REF!</v>
      </c>
      <c r="BD9" t="e">
        <f>IF(#REF!,"AAAAAF3/azc=",0)</f>
        <v>#REF!</v>
      </c>
      <c r="BE9" t="e">
        <f>IF(#REF!,"AAAAAF3/azg=",0)</f>
        <v>#REF!</v>
      </c>
      <c r="BF9" t="e">
        <f>IF(#REF!,"AAAAAF3/azk=",0)</f>
        <v>#REF!</v>
      </c>
      <c r="BG9" t="e">
        <f>IF(#REF!,"AAAAAF3/azo=",0)</f>
        <v>#REF!</v>
      </c>
      <c r="BH9" t="e">
        <f>IF(#REF!,"AAAAAF3/azs=",0)</f>
        <v>#REF!</v>
      </c>
      <c r="BI9" t="e">
        <f>IF(#REF!,"AAAAAF3/azw=",0)</f>
        <v>#REF!</v>
      </c>
      <c r="BJ9" t="e">
        <f>IF(#REF!,"AAAAAF3/az0=",0)</f>
        <v>#REF!</v>
      </c>
      <c r="BK9" t="e">
        <f>IF(#REF!,"AAAAAF3/az4=",0)</f>
        <v>#REF!</v>
      </c>
      <c r="BL9" t="e">
        <f>IF(#REF!,"AAAAAF3/az8=",0)</f>
        <v>#REF!</v>
      </c>
      <c r="BM9" t="e">
        <f>IF(#REF!,"AAAAAF3/a0A=",0)</f>
        <v>#REF!</v>
      </c>
      <c r="BN9" t="e">
        <f>IF(#REF!,"AAAAAF3/a0E=",0)</f>
        <v>#REF!</v>
      </c>
      <c r="BO9" t="e">
        <f>IF(#REF!,"AAAAAF3/a0I=",0)</f>
        <v>#REF!</v>
      </c>
      <c r="BP9" t="e">
        <f>IF(#REF!,"AAAAAF3/a0M=",0)</f>
        <v>#REF!</v>
      </c>
      <c r="BQ9" t="e">
        <f>IF(#REF!,"AAAAAF3/a0Q=",0)</f>
        <v>#REF!</v>
      </c>
      <c r="BR9" t="e">
        <f>IF(#REF!,"AAAAAF3/a0U=",0)</f>
        <v>#REF!</v>
      </c>
      <c r="BS9" t="e">
        <f>IF(#REF!,"AAAAAF3/a0Y=",0)</f>
        <v>#REF!</v>
      </c>
      <c r="BT9" t="e">
        <f>IF(#REF!,"AAAAAF3/a0c=",0)</f>
        <v>#REF!</v>
      </c>
      <c r="BU9" t="e">
        <f>IF(#REF!,"AAAAAF3/a0g=",0)</f>
        <v>#REF!</v>
      </c>
      <c r="BV9" t="e">
        <f>IF(#REF!,"AAAAAF3/a0k=",0)</f>
        <v>#REF!</v>
      </c>
      <c r="BW9" t="e">
        <f>IF(#REF!,"AAAAAF3/a0o=",0)</f>
        <v>#REF!</v>
      </c>
      <c r="BX9" t="e">
        <f>IF(#REF!,"AAAAAF3/a0s=",0)</f>
        <v>#REF!</v>
      </c>
      <c r="BY9" t="e">
        <f>IF(#REF!,"AAAAAF3/a0w=",0)</f>
        <v>#REF!</v>
      </c>
      <c r="BZ9" t="e">
        <f>IF(#REF!,"AAAAAF3/a00=",0)</f>
        <v>#REF!</v>
      </c>
      <c r="CA9" t="e">
        <f>IF(#REF!,"AAAAAF3/a04=",0)</f>
        <v>#REF!</v>
      </c>
      <c r="CB9" t="e">
        <f>IF(#REF!,"AAAAAF3/a08=",0)</f>
        <v>#REF!</v>
      </c>
      <c r="CC9" t="e">
        <f>IF(#REF!,"AAAAAF3/a1A=",0)</f>
        <v>#REF!</v>
      </c>
      <c r="CD9" t="e">
        <f>IF(#REF!,"AAAAAF3/a1E=",0)</f>
        <v>#REF!</v>
      </c>
      <c r="CE9" t="e">
        <f>IF(#REF!,"AAAAAF3/a1I=",0)</f>
        <v>#REF!</v>
      </c>
      <c r="CF9" t="e">
        <f>IF(#REF!,"AAAAAF3/a1M=",0)</f>
        <v>#REF!</v>
      </c>
      <c r="CG9" t="e">
        <f>IF(#REF!,"AAAAAF3/a1Q=",0)</f>
        <v>#REF!</v>
      </c>
      <c r="CH9" t="e">
        <f>IF(#REF!,"AAAAAF3/a1U=",0)</f>
        <v>#REF!</v>
      </c>
      <c r="CI9" t="e">
        <f>IF(#REF!,"AAAAAF3/a1Y=",0)</f>
        <v>#REF!</v>
      </c>
      <c r="CJ9" t="e">
        <f>IF(#REF!,"AAAAAF3/a1c=",0)</f>
        <v>#REF!</v>
      </c>
      <c r="CK9" t="e">
        <f>IF(#REF!,"AAAAAF3/a1g=",0)</f>
        <v>#REF!</v>
      </c>
      <c r="CL9" t="e">
        <f>IF(#REF!,"AAAAAF3/a1k=",0)</f>
        <v>#REF!</v>
      </c>
      <c r="CM9" t="e">
        <f>IF(#REF!,"AAAAAF3/a1o=",0)</f>
        <v>#REF!</v>
      </c>
      <c r="CN9" t="e">
        <f>IF(#REF!,"AAAAAF3/a1s=",0)</f>
        <v>#REF!</v>
      </c>
      <c r="CO9" t="e">
        <f>IF(#REF!,"AAAAAF3/a1w=",0)</f>
        <v>#REF!</v>
      </c>
      <c r="CP9" t="e">
        <f>IF(#REF!,"AAAAAF3/a10=",0)</f>
        <v>#REF!</v>
      </c>
      <c r="CQ9" t="e">
        <f>IF(#REF!,"AAAAAF3/a14=",0)</f>
        <v>#REF!</v>
      </c>
      <c r="CR9" t="e">
        <f>IF(#REF!,"AAAAAF3/a18=",0)</f>
        <v>#REF!</v>
      </c>
      <c r="CS9" t="e">
        <f>IF(#REF!,"AAAAAF3/a2A=",0)</f>
        <v>#REF!</v>
      </c>
      <c r="CT9" t="e">
        <f>IF(#REF!,"AAAAAF3/a2E=",0)</f>
        <v>#REF!</v>
      </c>
      <c r="CU9" t="e">
        <f>IF(#REF!,"AAAAAF3/a2I=",0)</f>
        <v>#REF!</v>
      </c>
      <c r="CV9" t="e">
        <f>IF(#REF!,"AAAAAF3/a2M=",0)</f>
        <v>#REF!</v>
      </c>
      <c r="CW9" t="e">
        <f>IF(#REF!,"AAAAAF3/a2Q=",0)</f>
        <v>#REF!</v>
      </c>
      <c r="CX9" t="e">
        <f>IF(#REF!,"AAAAAF3/a2U=",0)</f>
        <v>#REF!</v>
      </c>
      <c r="CY9" t="e">
        <f>IF(#REF!,"AAAAAF3/a2Y=",0)</f>
        <v>#REF!</v>
      </c>
      <c r="CZ9" t="e">
        <f>IF(#REF!,"AAAAAF3/a2c=",0)</f>
        <v>#REF!</v>
      </c>
      <c r="DA9" t="e">
        <f>IF(#REF!,"AAAAAF3/a2g=",0)</f>
        <v>#REF!</v>
      </c>
      <c r="DB9" t="e">
        <f>IF(#REF!,"AAAAAF3/a2k=",0)</f>
        <v>#REF!</v>
      </c>
      <c r="DC9" t="e">
        <f>IF(#REF!,"AAAAAF3/a2o=",0)</f>
        <v>#REF!</v>
      </c>
      <c r="DD9" t="e">
        <f>IF(#REF!,"AAAAAF3/a2s=",0)</f>
        <v>#REF!</v>
      </c>
      <c r="DE9" t="e">
        <f>IF(#REF!,"AAAAAF3/a2w=",0)</f>
        <v>#REF!</v>
      </c>
      <c r="DF9" t="e">
        <f>IF(#REF!,"AAAAAF3/a20=",0)</f>
        <v>#REF!</v>
      </c>
      <c r="DG9" t="e">
        <f>IF(#REF!,"AAAAAF3/a24=",0)</f>
        <v>#REF!</v>
      </c>
      <c r="DH9" t="e">
        <f>IF(#REF!,"AAAAAF3/a28=",0)</f>
        <v>#REF!</v>
      </c>
      <c r="DI9" t="e">
        <f>IF(#REF!,"AAAAAF3/a3A=",0)</f>
        <v>#REF!</v>
      </c>
      <c r="DJ9" t="e">
        <f>IF(#REF!,"AAAAAF3/a3E=",0)</f>
        <v>#REF!</v>
      </c>
      <c r="DK9" t="e">
        <f>IF(#REF!,"AAAAAF3/a3I=",0)</f>
        <v>#REF!</v>
      </c>
      <c r="DL9" t="e">
        <f>IF(#REF!,"AAAAAF3/a3M=",0)</f>
        <v>#REF!</v>
      </c>
      <c r="DM9" t="e">
        <f>IF(#REF!,"AAAAAF3/a3Q=",0)</f>
        <v>#REF!</v>
      </c>
      <c r="DN9" t="e">
        <f>IF(#REF!,"AAAAAF3/a3U=",0)</f>
        <v>#REF!</v>
      </c>
      <c r="DO9" t="e">
        <f>IF(#REF!,"AAAAAF3/a3Y=",0)</f>
        <v>#REF!</v>
      </c>
      <c r="DP9" t="e">
        <f>IF(#REF!,"AAAAAF3/a3c=",0)</f>
        <v>#REF!</v>
      </c>
      <c r="DQ9" t="e">
        <f>IF(#REF!,"AAAAAF3/a3g=",0)</f>
        <v>#REF!</v>
      </c>
      <c r="DR9" t="e">
        <f>IF(#REF!,"AAAAAF3/a3k=",0)</f>
        <v>#REF!</v>
      </c>
      <c r="DS9" t="e">
        <f>IF(#REF!,"AAAAAF3/a3o=",0)</f>
        <v>#REF!</v>
      </c>
      <c r="DT9" t="e">
        <f>IF(#REF!,"AAAAAF3/a3s=",0)</f>
        <v>#REF!</v>
      </c>
      <c r="DU9" t="e">
        <f>IF(#REF!,"AAAAAF3/a3w=",0)</f>
        <v>#REF!</v>
      </c>
      <c r="DV9" t="e">
        <f>IF(#REF!,"AAAAAF3/a30=",0)</f>
        <v>#REF!</v>
      </c>
      <c r="DW9" t="e">
        <f>IF(#REF!,"AAAAAF3/a34=",0)</f>
        <v>#REF!</v>
      </c>
      <c r="DX9" t="e">
        <f>IF(#REF!,"AAAAAF3/a38=",0)</f>
        <v>#REF!</v>
      </c>
      <c r="DY9" t="e">
        <f>IF(#REF!,"AAAAAF3/a4A=",0)</f>
        <v>#REF!</v>
      </c>
      <c r="DZ9" t="e">
        <f>IF(#REF!,"AAAAAF3/a4E=",0)</f>
        <v>#REF!</v>
      </c>
      <c r="EA9" t="e">
        <f>IF(#REF!,"AAAAAF3/a4I=",0)</f>
        <v>#REF!</v>
      </c>
      <c r="EB9" t="e">
        <f>IF(#REF!,"AAAAAF3/a4M=",0)</f>
        <v>#REF!</v>
      </c>
      <c r="EC9" t="e">
        <f>IF(#REF!,"AAAAAF3/a4Q=",0)</f>
        <v>#REF!</v>
      </c>
      <c r="ED9" t="e">
        <f>IF(#REF!,"AAAAAF3/a4U=",0)</f>
        <v>#REF!</v>
      </c>
      <c r="EE9" t="e">
        <f>IF(#REF!,"AAAAAF3/a4Y=",0)</f>
        <v>#REF!</v>
      </c>
      <c r="EF9" t="e">
        <f>IF(#REF!,"AAAAAF3/a4c=",0)</f>
        <v>#REF!</v>
      </c>
      <c r="EG9" t="e">
        <f>IF(#REF!,"AAAAAF3/a4g=",0)</f>
        <v>#REF!</v>
      </c>
      <c r="EH9" t="e">
        <f>IF(#REF!,"AAAAAF3/a4k=",0)</f>
        <v>#REF!</v>
      </c>
      <c r="EI9" t="e">
        <f>IF(#REF!,"AAAAAF3/a4o=",0)</f>
        <v>#REF!</v>
      </c>
      <c r="EJ9" t="e">
        <f>IF(#REF!,"AAAAAF3/a4s=",0)</f>
        <v>#REF!</v>
      </c>
      <c r="EK9" t="e">
        <f>IF(#REF!,"AAAAAF3/a4w=",0)</f>
        <v>#REF!</v>
      </c>
      <c r="EL9" t="e">
        <f>IF(#REF!,"AAAAAF3/a40=",0)</f>
        <v>#REF!</v>
      </c>
      <c r="EM9" t="e">
        <f>IF(#REF!,"AAAAAF3/a44=",0)</f>
        <v>#REF!</v>
      </c>
      <c r="EN9" t="e">
        <f>IF(#REF!,"AAAAAF3/a48=",0)</f>
        <v>#REF!</v>
      </c>
      <c r="EO9" t="e">
        <f>IF(#REF!,"AAAAAF3/a5A=",0)</f>
        <v>#REF!</v>
      </c>
      <c r="EP9" t="e">
        <f>IF(#REF!,"AAAAAF3/a5E=",0)</f>
        <v>#REF!</v>
      </c>
      <c r="EQ9" t="e">
        <f>IF(#REF!,"AAAAAF3/a5I=",0)</f>
        <v>#REF!</v>
      </c>
      <c r="ER9" t="e">
        <f>IF(#REF!,"AAAAAF3/a5M=",0)</f>
        <v>#REF!</v>
      </c>
      <c r="ES9" t="e">
        <f>IF(#REF!,"AAAAAF3/a5Q=",0)</f>
        <v>#REF!</v>
      </c>
      <c r="ET9" t="e">
        <f>IF(#REF!,"AAAAAF3/a5U=",0)</f>
        <v>#REF!</v>
      </c>
      <c r="EU9" t="e">
        <f>IF(#REF!,"AAAAAF3/a5Y=",0)</f>
        <v>#REF!</v>
      </c>
      <c r="EV9" t="e">
        <f>IF(#REF!,"AAAAAF3/a5c=",0)</f>
        <v>#REF!</v>
      </c>
      <c r="EW9" t="e">
        <f>IF(#REF!,"AAAAAF3/a5g=",0)</f>
        <v>#REF!</v>
      </c>
      <c r="EX9" t="e">
        <f>IF(#REF!,"AAAAAF3/a5k=",0)</f>
        <v>#REF!</v>
      </c>
      <c r="EY9" t="e">
        <f>IF(#REF!,"AAAAAF3/a5o=",0)</f>
        <v>#REF!</v>
      </c>
      <c r="EZ9" t="e">
        <f>IF(#REF!,"AAAAAF3/a5s=",0)</f>
        <v>#REF!</v>
      </c>
      <c r="FA9" t="e">
        <f>IF(#REF!,"AAAAAF3/a5w=",0)</f>
        <v>#REF!</v>
      </c>
      <c r="FB9" t="e">
        <f>IF(#REF!,"AAAAAF3/a50=",0)</f>
        <v>#REF!</v>
      </c>
      <c r="FC9" t="e">
        <f>IF(#REF!,"AAAAAF3/a54=",0)</f>
        <v>#REF!</v>
      </c>
      <c r="FD9" t="e">
        <f>IF(#REF!,"AAAAAF3/a58=",0)</f>
        <v>#REF!</v>
      </c>
      <c r="FE9" t="e">
        <f>IF(#REF!,"AAAAAF3/a6A=",0)</f>
        <v>#REF!</v>
      </c>
      <c r="FF9" t="e">
        <f>IF(#REF!,"AAAAAF3/a6E=",0)</f>
        <v>#REF!</v>
      </c>
      <c r="FG9" t="e">
        <f>IF(#REF!,"AAAAAF3/a6I=",0)</f>
        <v>#REF!</v>
      </c>
      <c r="FH9" t="e">
        <f>IF(#REF!,"AAAAAF3/a6M=",0)</f>
        <v>#REF!</v>
      </c>
      <c r="FI9" t="e">
        <f>IF(#REF!,"AAAAAF3/a6Q=",0)</f>
        <v>#REF!</v>
      </c>
      <c r="FJ9" t="e">
        <f>IF(#REF!,"AAAAAF3/a6U=",0)</f>
        <v>#REF!</v>
      </c>
      <c r="FK9" t="e">
        <f>IF(#REF!,"AAAAAF3/a6Y=",0)</f>
        <v>#REF!</v>
      </c>
      <c r="FL9" t="e">
        <f>IF(#REF!,"AAAAAF3/a6c=",0)</f>
        <v>#REF!</v>
      </c>
      <c r="FM9" t="e">
        <f>IF(#REF!,"AAAAAF3/a6g=",0)</f>
        <v>#REF!</v>
      </c>
      <c r="FN9" t="e">
        <f>IF(#REF!,"AAAAAF3/a6k=",0)</f>
        <v>#REF!</v>
      </c>
      <c r="FO9" t="e">
        <f>IF(#REF!,"AAAAAF3/a6o=",0)</f>
        <v>#REF!</v>
      </c>
      <c r="FP9" t="e">
        <f>IF(#REF!,"AAAAAF3/a6s=",0)</f>
        <v>#REF!</v>
      </c>
      <c r="FQ9" t="e">
        <f>IF(#REF!,"AAAAAF3/a6w=",0)</f>
        <v>#REF!</v>
      </c>
      <c r="FR9" t="e">
        <f>IF(#REF!,"AAAAAF3/a60=",0)</f>
        <v>#REF!</v>
      </c>
      <c r="FS9" t="e">
        <f>IF(#REF!,"AAAAAF3/a64=",0)</f>
        <v>#REF!</v>
      </c>
      <c r="FT9" t="e">
        <f>IF(#REF!,"AAAAAF3/a68=",0)</f>
        <v>#REF!</v>
      </c>
      <c r="FU9" t="e">
        <f>IF(#REF!,"AAAAAF3/a7A=",0)</f>
        <v>#REF!</v>
      </c>
      <c r="FV9" t="e">
        <f>IF(#REF!,"AAAAAF3/a7E=",0)</f>
        <v>#REF!</v>
      </c>
      <c r="FW9" t="e">
        <f>IF(#REF!,"AAAAAF3/a7I=",0)</f>
        <v>#REF!</v>
      </c>
      <c r="FX9" t="e">
        <f>IF(#REF!,"AAAAAF3/a7M=",0)</f>
        <v>#REF!</v>
      </c>
      <c r="FY9" t="e">
        <f>IF(#REF!,"AAAAAF3/a7Q=",0)</f>
        <v>#REF!</v>
      </c>
      <c r="FZ9" t="e">
        <f>IF(#REF!,"AAAAAF3/a7U=",0)</f>
        <v>#REF!</v>
      </c>
      <c r="GA9" t="e">
        <f>IF(#REF!,"AAAAAF3/a7Y=",0)</f>
        <v>#REF!</v>
      </c>
      <c r="GB9" t="e">
        <f>IF(#REF!,"AAAAAF3/a7c=",0)</f>
        <v>#REF!</v>
      </c>
      <c r="GC9" t="e">
        <f>IF(#REF!,"AAAAAF3/a7g=",0)</f>
        <v>#REF!</v>
      </c>
      <c r="GD9" t="e">
        <f>IF(#REF!,"AAAAAF3/a7k=",0)</f>
        <v>#REF!</v>
      </c>
      <c r="GE9" t="e">
        <f>IF(#REF!,"AAAAAF3/a7o=",0)</f>
        <v>#REF!</v>
      </c>
      <c r="GF9" t="e">
        <f>IF(#REF!,"AAAAAF3/a7s=",0)</f>
        <v>#REF!</v>
      </c>
      <c r="GG9" t="e">
        <f>IF(#REF!,"AAAAAF3/a7w=",0)</f>
        <v>#REF!</v>
      </c>
      <c r="GH9" t="e">
        <f>IF(#REF!,"AAAAAF3/a70=",0)</f>
        <v>#REF!</v>
      </c>
      <c r="GI9" t="e">
        <f>IF(#REF!,"AAAAAF3/a74=",0)</f>
        <v>#REF!</v>
      </c>
      <c r="GJ9" t="e">
        <f>IF(#REF!,"AAAAAF3/a78=",0)</f>
        <v>#REF!</v>
      </c>
      <c r="GK9" t="e">
        <f>IF(#REF!,"AAAAAF3/a8A=",0)</f>
        <v>#REF!</v>
      </c>
      <c r="GL9" t="e">
        <f>IF(#REF!,"AAAAAF3/a8E=",0)</f>
        <v>#REF!</v>
      </c>
      <c r="GM9" t="e">
        <f>IF(#REF!,"AAAAAF3/a8I=",0)</f>
        <v>#REF!</v>
      </c>
      <c r="GN9" t="e">
        <f>IF(#REF!,"AAAAAF3/a8M=",0)</f>
        <v>#REF!</v>
      </c>
      <c r="GO9" t="e">
        <f>IF(#REF!,"AAAAAF3/a8Q=",0)</f>
        <v>#REF!</v>
      </c>
      <c r="GP9" t="e">
        <f>IF(#REF!,"AAAAAF3/a8U=",0)</f>
        <v>#REF!</v>
      </c>
      <c r="GQ9" t="e">
        <f>IF(#REF!,"AAAAAF3/a8Y=",0)</f>
        <v>#REF!</v>
      </c>
      <c r="GR9" t="e">
        <f>IF(#REF!,"AAAAAF3/a8c=",0)</f>
        <v>#REF!</v>
      </c>
      <c r="GS9" t="e">
        <f>IF(#REF!,"AAAAAF3/a8g=",0)</f>
        <v>#REF!</v>
      </c>
      <c r="GT9" t="e">
        <f>IF(#REF!,"AAAAAF3/a8k=",0)</f>
        <v>#REF!</v>
      </c>
      <c r="GU9" t="e">
        <f>IF(#REF!,"AAAAAF3/a8o=",0)</f>
        <v>#REF!</v>
      </c>
      <c r="GV9" t="e">
        <f>IF(#REF!,"AAAAAF3/a8s=",0)</f>
        <v>#REF!</v>
      </c>
      <c r="GW9" t="e">
        <f>IF(#REF!,"AAAAAF3/a8w=",0)</f>
        <v>#REF!</v>
      </c>
      <c r="GX9" t="e">
        <f>IF(#REF!,"AAAAAF3/a80=",0)</f>
        <v>#REF!</v>
      </c>
      <c r="GY9" t="e">
        <f>IF(#REF!,"AAAAAF3/a84=",0)</f>
        <v>#REF!</v>
      </c>
      <c r="GZ9" t="e">
        <f>IF(#REF!,"AAAAAF3/a88=",0)</f>
        <v>#REF!</v>
      </c>
      <c r="HA9" t="e">
        <f>IF(#REF!,"AAAAAF3/a9A=",0)</f>
        <v>#REF!</v>
      </c>
      <c r="HB9" t="e">
        <f>IF(#REF!,"AAAAAF3/a9E=",0)</f>
        <v>#REF!</v>
      </c>
      <c r="HC9" t="e">
        <f>IF(#REF!,"AAAAAF3/a9I=",0)</f>
        <v>#REF!</v>
      </c>
      <c r="HD9" t="e">
        <f>IF(#REF!,"AAAAAF3/a9M=",0)</f>
        <v>#REF!</v>
      </c>
      <c r="HE9" t="e">
        <f>IF(#REF!,"AAAAAF3/a9Q=",0)</f>
        <v>#REF!</v>
      </c>
      <c r="HF9" t="e">
        <f>IF(#REF!,"AAAAAF3/a9U=",0)</f>
        <v>#REF!</v>
      </c>
      <c r="HG9" t="e">
        <f>IF(#REF!,"AAAAAF3/a9Y=",0)</f>
        <v>#REF!</v>
      </c>
      <c r="HH9" t="e">
        <f>IF(#REF!,"AAAAAF3/a9c=",0)</f>
        <v>#REF!</v>
      </c>
      <c r="HI9" t="e">
        <f>IF(#REF!,"AAAAAF3/a9g=",0)</f>
        <v>#REF!</v>
      </c>
      <c r="HJ9" t="e">
        <f>IF(#REF!,"AAAAAF3/a9k=",0)</f>
        <v>#REF!</v>
      </c>
      <c r="HK9" t="e">
        <f>IF(#REF!,"AAAAAF3/a9o=",0)</f>
        <v>#REF!</v>
      </c>
      <c r="HL9" t="e">
        <f>IF(#REF!,"AAAAAF3/a9s=",0)</f>
        <v>#REF!</v>
      </c>
      <c r="HM9" t="e">
        <f>IF(#REF!,"AAAAAF3/a9w=",0)</f>
        <v>#REF!</v>
      </c>
      <c r="HN9" t="e">
        <f>IF(#REF!,"AAAAAF3/a90=",0)</f>
        <v>#REF!</v>
      </c>
      <c r="HO9" t="e">
        <f>IF(#REF!,"AAAAAF3/a94=",0)</f>
        <v>#REF!</v>
      </c>
      <c r="HP9" t="e">
        <f>IF(#REF!,"AAAAAF3/a98=",0)</f>
        <v>#REF!</v>
      </c>
      <c r="HQ9" t="e">
        <f>IF(#REF!,"AAAAAF3/a+A=",0)</f>
        <v>#REF!</v>
      </c>
      <c r="HR9" t="e">
        <f>IF(#REF!,"AAAAAF3/a+E=",0)</f>
        <v>#REF!</v>
      </c>
      <c r="HS9" t="e">
        <f>IF(#REF!,"AAAAAF3/a+I=",0)</f>
        <v>#REF!</v>
      </c>
      <c r="HT9" t="e">
        <f>IF(#REF!,"AAAAAF3/a+M=",0)</f>
        <v>#REF!</v>
      </c>
      <c r="HU9" t="e">
        <f>IF(#REF!,"AAAAAF3/a+Q=",0)</f>
        <v>#REF!</v>
      </c>
      <c r="HV9" t="e">
        <f>IF(#REF!,"AAAAAF3/a+U=",0)</f>
        <v>#REF!</v>
      </c>
      <c r="HW9" t="e">
        <f>IF(#REF!,"AAAAAF3/a+Y=",0)</f>
        <v>#REF!</v>
      </c>
      <c r="HX9" t="e">
        <f>IF(#REF!,"AAAAAF3/a+c=",0)</f>
        <v>#REF!</v>
      </c>
      <c r="HY9" t="e">
        <f>IF(#REF!,"AAAAAF3/a+g=",0)</f>
        <v>#REF!</v>
      </c>
      <c r="HZ9" t="e">
        <f>IF(#REF!,"AAAAAF3/a+k=",0)</f>
        <v>#REF!</v>
      </c>
      <c r="IA9" t="e">
        <f>IF(#REF!,"AAAAAF3/a+o=",0)</f>
        <v>#REF!</v>
      </c>
      <c r="IB9" t="e">
        <f>IF(#REF!,"AAAAAF3/a+s=",0)</f>
        <v>#REF!</v>
      </c>
      <c r="IC9" t="e">
        <f>IF(#REF!,"AAAAAF3/a+w=",0)</f>
        <v>#REF!</v>
      </c>
      <c r="ID9" t="e">
        <f>IF(#REF!,"AAAAAF3/a+0=",0)</f>
        <v>#REF!</v>
      </c>
      <c r="IE9" t="e">
        <f>IF(#REF!,"AAAAAF3/a+4=",0)</f>
        <v>#REF!</v>
      </c>
      <c r="IF9" t="e">
        <f>IF(#REF!,"AAAAAF3/a+8=",0)</f>
        <v>#REF!</v>
      </c>
      <c r="IG9" t="e">
        <f>IF(#REF!,"AAAAAF3/a/A=",0)</f>
        <v>#REF!</v>
      </c>
      <c r="IH9" t="e">
        <f>IF(#REF!,"AAAAAF3/a/E=",0)</f>
        <v>#REF!</v>
      </c>
      <c r="II9" t="e">
        <f>IF(#REF!,"AAAAAF3/a/I=",0)</f>
        <v>#REF!</v>
      </c>
      <c r="IJ9" t="e">
        <f>IF(#REF!,"AAAAAF3/a/M=",0)</f>
        <v>#REF!</v>
      </c>
      <c r="IK9" t="e">
        <f>IF(#REF!,"AAAAAF3/a/Q=",0)</f>
        <v>#REF!</v>
      </c>
      <c r="IL9" t="e">
        <f>IF(#REF!,"AAAAAF3/a/U=",0)</f>
        <v>#REF!</v>
      </c>
      <c r="IM9" t="e">
        <f>IF(#REF!,"AAAAAF3/a/Y=",0)</f>
        <v>#REF!</v>
      </c>
      <c r="IN9" t="e">
        <f>IF(#REF!,"AAAAAF3/a/c=",0)</f>
        <v>#REF!</v>
      </c>
      <c r="IO9" t="e">
        <f>IF(#REF!,"AAAAAF3/a/g=",0)</f>
        <v>#REF!</v>
      </c>
      <c r="IP9" t="e">
        <f>IF(#REF!,"AAAAAF3/a/k=",0)</f>
        <v>#REF!</v>
      </c>
      <c r="IQ9" t="e">
        <f>IF(#REF!,"AAAAAF3/a/o=",0)</f>
        <v>#REF!</v>
      </c>
      <c r="IR9" t="e">
        <f>IF(#REF!,"AAAAAF3/a/s=",0)</f>
        <v>#REF!</v>
      </c>
      <c r="IS9" t="e">
        <f>IF(#REF!,"AAAAAF3/a/w=",0)</f>
        <v>#REF!</v>
      </c>
      <c r="IT9" t="e">
        <f>IF(#REF!,"AAAAAF3/a/0=",0)</f>
        <v>#REF!</v>
      </c>
      <c r="IU9" t="e">
        <f>IF(#REF!,"AAAAAF3/a/4=",0)</f>
        <v>#REF!</v>
      </c>
      <c r="IV9" t="e">
        <f>IF(#REF!,"AAAAAF3/a/8=",0)</f>
        <v>#REF!</v>
      </c>
    </row>
    <row r="10" spans="1:256" ht="12.75">
      <c r="A10" t="e">
        <f>IF(#REF!,"AAAAAD//zQA=",0)</f>
        <v>#REF!</v>
      </c>
      <c r="B10" t="e">
        <f>IF(#REF!,"AAAAAD//zQE=",0)</f>
        <v>#REF!</v>
      </c>
      <c r="C10" t="e">
        <f>IF(#REF!,"AAAAAD//zQI=",0)</f>
        <v>#REF!</v>
      </c>
      <c r="D10" t="e">
        <f>IF(#REF!,"AAAAAD//zQM=",0)</f>
        <v>#REF!</v>
      </c>
      <c r="E10" t="e">
        <f>IF(#REF!,"AAAAAD//zQQ=",0)</f>
        <v>#REF!</v>
      </c>
      <c r="F10" t="e">
        <f>IF(#REF!,"AAAAAD//zQU=",0)</f>
        <v>#REF!</v>
      </c>
      <c r="G10" t="e">
        <f>IF(#REF!,"AAAAAD//zQY=",0)</f>
        <v>#REF!</v>
      </c>
      <c r="H10" t="e">
        <f>IF(#REF!,"AAAAAD//zQc=",0)</f>
        <v>#REF!</v>
      </c>
      <c r="I10" t="e">
        <f>IF(#REF!,"AAAAAD//zQg=",0)</f>
        <v>#REF!</v>
      </c>
      <c r="J10" t="e">
        <f>IF(#REF!,"AAAAAD//zQk=",0)</f>
        <v>#REF!</v>
      </c>
      <c r="K10" t="e">
        <f>IF(#REF!,"AAAAAD//zQo=",0)</f>
        <v>#REF!</v>
      </c>
      <c r="L10" t="e">
        <f>IF(#REF!,"AAAAAD//zQs=",0)</f>
        <v>#REF!</v>
      </c>
      <c r="M10" t="e">
        <f>IF(#REF!,"AAAAAD//zQw=",0)</f>
        <v>#REF!</v>
      </c>
      <c r="N10" t="e">
        <f>IF(#REF!,"AAAAAD//zQ0=",0)</f>
        <v>#REF!</v>
      </c>
      <c r="O10" t="e">
        <f>IF(#REF!,"AAAAAD//zQ4=",0)</f>
        <v>#REF!</v>
      </c>
      <c r="P10" t="e">
        <f>IF(#REF!,"AAAAAD//zQ8=",0)</f>
        <v>#REF!</v>
      </c>
      <c r="Q10" t="e">
        <f>IF(#REF!,"AAAAAD//zRA=",0)</f>
        <v>#REF!</v>
      </c>
      <c r="R10" t="e">
        <f>IF(#REF!,"AAAAAD//zRE=",0)</f>
        <v>#REF!</v>
      </c>
      <c r="S10" t="e">
        <f>IF(#REF!,"AAAAAD//zRI=",0)</f>
        <v>#REF!</v>
      </c>
      <c r="T10" t="e">
        <f>IF(#REF!,"AAAAAD//zRM=",0)</f>
        <v>#REF!</v>
      </c>
      <c r="U10" t="e">
        <f>IF(#REF!,"AAAAAD//zRQ=",0)</f>
        <v>#REF!</v>
      </c>
      <c r="V10" t="e">
        <f>IF(#REF!,"AAAAAD//zRU=",0)</f>
        <v>#REF!</v>
      </c>
      <c r="W10" t="e">
        <f>IF(#REF!,"AAAAAD//zRY=",0)</f>
        <v>#REF!</v>
      </c>
      <c r="X10" t="e">
        <f>IF(#REF!,"AAAAAD//zRc=",0)</f>
        <v>#REF!</v>
      </c>
      <c r="Y10" t="e">
        <f>IF(#REF!,"AAAAAD//zRg=",0)</f>
        <v>#REF!</v>
      </c>
      <c r="Z10" t="e">
        <f>IF(#REF!,"AAAAAD//zRk=",0)</f>
        <v>#REF!</v>
      </c>
      <c r="AA10" t="e">
        <f>IF(#REF!,"AAAAAD//zRo=",0)</f>
        <v>#REF!</v>
      </c>
      <c r="AB10" t="e">
        <f>IF(#REF!,"AAAAAD//zRs=",0)</f>
        <v>#REF!</v>
      </c>
      <c r="AC10" t="e">
        <f>IF(#REF!,"AAAAAD//zRw=",0)</f>
        <v>#REF!</v>
      </c>
      <c r="AD10" t="e">
        <f>IF(#REF!,"AAAAAD//zR0=",0)</f>
        <v>#REF!</v>
      </c>
      <c r="AE10" t="e">
        <f>IF(#REF!,"AAAAAD//zR4=",0)</f>
        <v>#REF!</v>
      </c>
      <c r="AF10" t="e">
        <f>IF(#REF!,"AAAAAD//zR8=",0)</f>
        <v>#REF!</v>
      </c>
      <c r="AG10" t="e">
        <f>IF(#REF!,"AAAAAD//zSA=",0)</f>
        <v>#REF!</v>
      </c>
      <c r="AH10" t="e">
        <f>IF(#REF!,"AAAAAD//zSE=",0)</f>
        <v>#REF!</v>
      </c>
      <c r="AI10" t="e">
        <f>IF(#REF!,"AAAAAD//zSI=",0)</f>
        <v>#REF!</v>
      </c>
      <c r="AJ10" t="e">
        <f>IF(#REF!,"AAAAAD//zSM=",0)</f>
        <v>#REF!</v>
      </c>
      <c r="AK10" t="e">
        <f>IF(#REF!,"AAAAAD//zSQ=",0)</f>
        <v>#REF!</v>
      </c>
      <c r="AL10" t="e">
        <f>IF(#REF!,"AAAAAD//zSU=",0)</f>
        <v>#REF!</v>
      </c>
      <c r="AM10" t="e">
        <f>IF(#REF!,"AAAAAD//zSY=",0)</f>
        <v>#REF!</v>
      </c>
      <c r="AN10" t="e">
        <f>IF(#REF!,"AAAAAD//zSc=",0)</f>
        <v>#REF!</v>
      </c>
      <c r="AO10" t="e">
        <f>IF(#REF!,"AAAAAD//zSg=",0)</f>
        <v>#REF!</v>
      </c>
      <c r="AP10" t="e">
        <f>IF(#REF!,"AAAAAD//zSk=",0)</f>
        <v>#REF!</v>
      </c>
      <c r="AQ10" t="e">
        <f>IF(#REF!,"AAAAAD//zSo=",0)</f>
        <v>#REF!</v>
      </c>
      <c r="AR10" t="e">
        <f>IF(#REF!,"AAAAAD//zSs=",0)</f>
        <v>#REF!</v>
      </c>
      <c r="AS10" t="e">
        <f>IF(#REF!,"AAAAAD//zSw=",0)</f>
        <v>#REF!</v>
      </c>
      <c r="AT10" t="e">
        <f>IF(#REF!,"AAAAAD//zS0=",0)</f>
        <v>#REF!</v>
      </c>
      <c r="AU10" t="e">
        <f>IF(#REF!,"AAAAAD//zS4=",0)</f>
        <v>#REF!</v>
      </c>
      <c r="AV10" t="e">
        <f>IF(#REF!,"AAAAAD//zS8=",0)</f>
        <v>#REF!</v>
      </c>
      <c r="AW10" t="e">
        <f>IF(#REF!,"AAAAAD//zTA=",0)</f>
        <v>#REF!</v>
      </c>
      <c r="AX10" t="e">
        <f>IF(#REF!,"AAAAAD//zTE=",0)</f>
        <v>#REF!</v>
      </c>
      <c r="AY10" t="e">
        <f>IF(#REF!,"AAAAAD//zTI=",0)</f>
        <v>#REF!</v>
      </c>
      <c r="AZ10" t="e">
        <f>IF(#REF!,"AAAAAD//zTM=",0)</f>
        <v>#REF!</v>
      </c>
      <c r="BA10" t="e">
        <f>IF(#REF!,"AAAAAD//zTQ=",0)</f>
        <v>#REF!</v>
      </c>
      <c r="BB10" t="e">
        <f>IF(#REF!,"AAAAAD//zTU=",0)</f>
        <v>#REF!</v>
      </c>
      <c r="BC10" t="e">
        <f>IF(#REF!,"AAAAAD//zTY=",0)</f>
        <v>#REF!</v>
      </c>
      <c r="BD10" t="e">
        <f>IF(#REF!,"AAAAAD//zTc=",0)</f>
        <v>#REF!</v>
      </c>
      <c r="BE10" t="e">
        <f>IF(#REF!,"AAAAAD//zTg=",0)</f>
        <v>#REF!</v>
      </c>
      <c r="BF10" t="e">
        <f>IF(#REF!,"AAAAAD//zTk=",0)</f>
        <v>#REF!</v>
      </c>
      <c r="BG10" t="e">
        <f>IF(#REF!,"AAAAAD//zTo=",0)</f>
        <v>#REF!</v>
      </c>
      <c r="BH10" t="e">
        <f>IF(#REF!,"AAAAAD//zTs=",0)</f>
        <v>#REF!</v>
      </c>
      <c r="BI10" t="e">
        <f>IF(#REF!,"AAAAAD//zTw=",0)</f>
        <v>#REF!</v>
      </c>
      <c r="BJ10" t="e">
        <f>IF(#REF!,"AAAAAD//zT0=",0)</f>
        <v>#REF!</v>
      </c>
      <c r="BK10" t="e">
        <f>IF(#REF!,"AAAAAD//zT4=",0)</f>
        <v>#REF!</v>
      </c>
      <c r="BL10" t="e">
        <f>IF(#REF!,"AAAAAD//zT8=",0)</f>
        <v>#REF!</v>
      </c>
      <c r="BM10" t="e">
        <f>IF(#REF!,"AAAAAD//zUA=",0)</f>
        <v>#REF!</v>
      </c>
      <c r="BN10" t="e">
        <f>IF(#REF!,"AAAAAD//zUE=",0)</f>
        <v>#REF!</v>
      </c>
      <c r="BO10" t="e">
        <f>IF(#REF!,"AAAAAD//zUI=",0)</f>
        <v>#REF!</v>
      </c>
      <c r="BP10" t="e">
        <f>IF(#REF!,"AAAAAD//zUM=",0)</f>
        <v>#REF!</v>
      </c>
      <c r="BQ10" t="e">
        <f>IF(#REF!,"AAAAAD//zUQ=",0)</f>
        <v>#REF!</v>
      </c>
      <c r="BR10" t="e">
        <f>IF(#REF!,"AAAAAD//zUU=",0)</f>
        <v>#REF!</v>
      </c>
      <c r="BS10" t="e">
        <f>IF(#REF!,"AAAAAD//zUY=",0)</f>
        <v>#REF!</v>
      </c>
      <c r="BT10" t="e">
        <f>IF(#REF!,"AAAAAD//zUc=",0)</f>
        <v>#REF!</v>
      </c>
      <c r="BU10" t="e">
        <f>IF(#REF!,"AAAAAD//zUg=",0)</f>
        <v>#REF!</v>
      </c>
      <c r="BV10" t="e">
        <f>IF(#REF!,"AAAAAD//zUk=",0)</f>
        <v>#REF!</v>
      </c>
      <c r="BW10" t="e">
        <f>IF(#REF!,"AAAAAD//zUo=",0)</f>
        <v>#REF!</v>
      </c>
      <c r="BX10" t="e">
        <f>IF(#REF!,"AAAAAD//zUs=",0)</f>
        <v>#REF!</v>
      </c>
      <c r="BY10" t="e">
        <f>IF(#REF!,"AAAAAD//zUw=",0)</f>
        <v>#REF!</v>
      </c>
      <c r="BZ10" t="e">
        <f>IF(#REF!,"AAAAAD//zU0=",0)</f>
        <v>#REF!</v>
      </c>
      <c r="CA10" t="e">
        <f>IF(#REF!,"AAAAAD//zU4=",0)</f>
        <v>#REF!</v>
      </c>
      <c r="CB10" t="e">
        <f>IF(#REF!,"AAAAAD//zU8=",0)</f>
        <v>#REF!</v>
      </c>
      <c r="CC10" t="e">
        <f>IF(#REF!,"AAAAAD//zVA=",0)</f>
        <v>#REF!</v>
      </c>
      <c r="CD10" t="e">
        <f>IF(#REF!,"AAAAAD//zVE=",0)</f>
        <v>#REF!</v>
      </c>
      <c r="CE10" t="e">
        <f>IF(#REF!,"AAAAAD//zVI=",0)</f>
        <v>#REF!</v>
      </c>
      <c r="CF10" t="e">
        <f>IF(#REF!,"AAAAAD//zVM=",0)</f>
        <v>#REF!</v>
      </c>
      <c r="CG10" t="e">
        <f>IF(#REF!,"AAAAAD//zVQ=",0)</f>
        <v>#REF!</v>
      </c>
      <c r="CH10" t="e">
        <f>IF(#REF!,"AAAAAD//zVU=",0)</f>
        <v>#REF!</v>
      </c>
      <c r="CI10" t="e">
        <f>IF(#REF!,"AAAAAD//zVY=",0)</f>
        <v>#REF!</v>
      </c>
      <c r="CJ10" t="e">
        <f>IF(#REF!,"AAAAAD//zVc=",0)</f>
        <v>#REF!</v>
      </c>
      <c r="CK10" t="e">
        <f>IF(#REF!,"AAAAAD//zVg=",0)</f>
        <v>#REF!</v>
      </c>
      <c r="CL10" t="e">
        <f>IF(#REF!,"AAAAAD//zVk=",0)</f>
        <v>#REF!</v>
      </c>
      <c r="CM10" t="e">
        <f>IF(#REF!,"AAAAAD//zVo=",0)</f>
        <v>#REF!</v>
      </c>
      <c r="CN10" t="e">
        <f>IF(#REF!,"AAAAAD//zVs=",0)</f>
        <v>#REF!</v>
      </c>
      <c r="CO10" t="e">
        <f>IF(#REF!,"AAAAAD//zVw=",0)</f>
        <v>#REF!</v>
      </c>
      <c r="CP10" t="e">
        <f>IF(#REF!,"AAAAAD//zV0=",0)</f>
        <v>#REF!</v>
      </c>
      <c r="CQ10" t="e">
        <f>IF(#REF!,"AAAAAD//zV4=",0)</f>
        <v>#REF!</v>
      </c>
      <c r="CR10" t="e">
        <f>IF(#REF!,"AAAAAD//zV8=",0)</f>
        <v>#REF!</v>
      </c>
      <c r="CS10" t="e">
        <f>IF(#REF!,"AAAAAD//zWA=",0)</f>
        <v>#REF!</v>
      </c>
      <c r="CT10" t="e">
        <f>IF(#REF!,"AAAAAD//zWE=",0)</f>
        <v>#REF!</v>
      </c>
      <c r="CU10" t="e">
        <f>IF(#REF!,"AAAAAD//zWI=",0)</f>
        <v>#REF!</v>
      </c>
      <c r="CV10" t="e">
        <f>IF(#REF!,"AAAAAD//zWM=",0)</f>
        <v>#REF!</v>
      </c>
      <c r="CW10" t="e">
        <f>IF(#REF!,"AAAAAD//zWQ=",0)</f>
        <v>#REF!</v>
      </c>
      <c r="CX10" t="e">
        <f>IF(#REF!,"AAAAAD//zWU=",0)</f>
        <v>#REF!</v>
      </c>
      <c r="CY10" t="e">
        <f>IF(#REF!,"AAAAAD//zWY=",0)</f>
        <v>#REF!</v>
      </c>
      <c r="CZ10" t="e">
        <f>IF(#REF!,"AAAAAD//zWc=",0)</f>
        <v>#REF!</v>
      </c>
      <c r="DA10" t="e">
        <f>IF(#REF!,"AAAAAD//zWg=",0)</f>
        <v>#REF!</v>
      </c>
      <c r="DB10" t="e">
        <f>IF(#REF!,"AAAAAD//zWk=",0)</f>
        <v>#REF!</v>
      </c>
      <c r="DC10" t="e">
        <f>IF(#REF!,"AAAAAD//zWo=",0)</f>
        <v>#REF!</v>
      </c>
      <c r="DD10" t="e">
        <f>IF(#REF!,"AAAAAD//zWs=",0)</f>
        <v>#REF!</v>
      </c>
      <c r="DE10" t="e">
        <f>IF(#REF!,"AAAAAD//zWw=",0)</f>
        <v>#REF!</v>
      </c>
      <c r="DF10" t="e">
        <f>IF(#REF!,"AAAAAD//zW0=",0)</f>
        <v>#REF!</v>
      </c>
      <c r="DG10" t="e">
        <f>IF(#REF!,"AAAAAD//zW4=",0)</f>
        <v>#REF!</v>
      </c>
      <c r="DH10" t="e">
        <f>IF(#REF!,"AAAAAD//zW8=",0)</f>
        <v>#REF!</v>
      </c>
      <c r="DI10" t="e">
        <f>IF(#REF!,"AAAAAD//zXA=",0)</f>
        <v>#REF!</v>
      </c>
      <c r="DJ10" t="e">
        <f>IF(#REF!,"AAAAAD//zXE=",0)</f>
        <v>#REF!</v>
      </c>
      <c r="DK10" t="e">
        <f>IF(#REF!,"AAAAAD//zXI=",0)</f>
        <v>#REF!</v>
      </c>
      <c r="DL10" t="e">
        <f>IF(#REF!,"AAAAAD//zXM=",0)</f>
        <v>#REF!</v>
      </c>
      <c r="DM10" t="e">
        <f>IF(#REF!,"AAAAAD//zXQ=",0)</f>
        <v>#REF!</v>
      </c>
      <c r="DN10" t="e">
        <f>IF(#REF!,"AAAAAD//zXU=",0)</f>
        <v>#REF!</v>
      </c>
      <c r="DO10" t="e">
        <f>IF(#REF!,"AAAAAD//zXY=",0)</f>
        <v>#REF!</v>
      </c>
      <c r="DP10" t="e">
        <f>IF(#REF!,"AAAAAD//zXc=",0)</f>
        <v>#REF!</v>
      </c>
      <c r="DQ10" t="e">
        <f>IF(#REF!,"AAAAAD//zXg=",0)</f>
        <v>#REF!</v>
      </c>
      <c r="DR10" t="e">
        <f>IF(#REF!,"AAAAAD//zXk=",0)</f>
        <v>#REF!</v>
      </c>
      <c r="DS10" t="e">
        <f>IF(#REF!,"AAAAAD//zXo=",0)</f>
        <v>#REF!</v>
      </c>
      <c r="DT10" t="e">
        <f>IF(#REF!,"AAAAAD//zXs=",0)</f>
        <v>#REF!</v>
      </c>
      <c r="DU10" t="e">
        <f>IF(#REF!,"AAAAAD//zXw=",0)</f>
        <v>#REF!</v>
      </c>
      <c r="DV10" t="e">
        <f>IF(#REF!,"AAAAAD//zX0=",0)</f>
        <v>#REF!</v>
      </c>
      <c r="DW10" t="e">
        <f>IF(#REF!,"AAAAAD//zX4=",0)</f>
        <v>#REF!</v>
      </c>
      <c r="DX10" t="e">
        <f>IF(#REF!,"AAAAAD//zX8=",0)</f>
        <v>#REF!</v>
      </c>
      <c r="DY10" t="e">
        <f>IF(#REF!,"AAAAAD//zYA=",0)</f>
        <v>#REF!</v>
      </c>
      <c r="DZ10" t="e">
        <f>IF(#REF!,"AAAAAD//zYE=",0)</f>
        <v>#REF!</v>
      </c>
      <c r="EA10" t="e">
        <f>IF(#REF!,"AAAAAD//zYI=",0)</f>
        <v>#REF!</v>
      </c>
      <c r="EB10" t="e">
        <f>IF(#REF!,"AAAAAD//zYM=",0)</f>
        <v>#REF!</v>
      </c>
      <c r="EC10" t="e">
        <f>IF(#REF!,"AAAAAD//zYQ=",0)</f>
        <v>#REF!</v>
      </c>
      <c r="ED10" t="e">
        <f>IF(#REF!,"AAAAAD//zYU=",0)</f>
        <v>#REF!</v>
      </c>
      <c r="EE10" t="e">
        <f>IF(#REF!,"AAAAAD//zYY=",0)</f>
        <v>#REF!</v>
      </c>
      <c r="EF10" t="e">
        <f>IF(#REF!,"AAAAAD//zYc=",0)</f>
        <v>#REF!</v>
      </c>
      <c r="EG10" t="e">
        <f>IF(#REF!,"AAAAAD//zYg=",0)</f>
        <v>#REF!</v>
      </c>
      <c r="EH10" t="e">
        <f>IF(#REF!,"AAAAAD//zYk=",0)</f>
        <v>#REF!</v>
      </c>
      <c r="EI10" t="e">
        <f>IF(#REF!,"AAAAAD//zYo=",0)</f>
        <v>#REF!</v>
      </c>
      <c r="EJ10" t="e">
        <f>IF(#REF!,"AAAAAD//zYs=",0)</f>
        <v>#REF!</v>
      </c>
      <c r="EK10" t="e">
        <f>IF(#REF!,"AAAAAD//zYw=",0)</f>
        <v>#REF!</v>
      </c>
      <c r="EL10" t="e">
        <f>IF(#REF!,"AAAAAD//zY0=",0)</f>
        <v>#REF!</v>
      </c>
      <c r="EM10" t="e">
        <f>IF(#REF!,"AAAAAD//zY4=",0)</f>
        <v>#REF!</v>
      </c>
      <c r="EN10" t="e">
        <f>IF(#REF!,"AAAAAD//zY8=",0)</f>
        <v>#REF!</v>
      </c>
      <c r="EO10" t="e">
        <f>IF(#REF!,"AAAAAD//zZA=",0)</f>
        <v>#REF!</v>
      </c>
      <c r="EP10" t="e">
        <f>IF(#REF!,"AAAAAD//zZE=",0)</f>
        <v>#REF!</v>
      </c>
      <c r="EQ10" t="e">
        <f>IF(#REF!,"AAAAAD//zZI=",0)</f>
        <v>#REF!</v>
      </c>
      <c r="ER10" t="e">
        <f>IF(#REF!,"AAAAAD//zZM=",0)</f>
        <v>#REF!</v>
      </c>
      <c r="ES10" t="e">
        <f>IF(#REF!,"AAAAAD//zZQ=",0)</f>
        <v>#REF!</v>
      </c>
      <c r="ET10" t="e">
        <f>IF(#REF!,"AAAAAD//zZU=",0)</f>
        <v>#REF!</v>
      </c>
      <c r="EU10" t="e">
        <f>IF(#REF!,"AAAAAD//zZY=",0)</f>
        <v>#REF!</v>
      </c>
      <c r="EV10" t="e">
        <f>IF(#REF!,"AAAAAD//zZc=",0)</f>
        <v>#REF!</v>
      </c>
      <c r="EW10" t="e">
        <f>IF(#REF!,"AAAAAD//zZg=",0)</f>
        <v>#REF!</v>
      </c>
      <c r="EX10" t="e">
        <f>IF(#REF!,"AAAAAD//zZk=",0)</f>
        <v>#REF!</v>
      </c>
      <c r="EY10" t="e">
        <f>IF(#REF!,"AAAAAD//zZo=",0)</f>
        <v>#REF!</v>
      </c>
      <c r="EZ10" t="e">
        <f>IF(#REF!,"AAAAAD//zZs=",0)</f>
        <v>#REF!</v>
      </c>
      <c r="FA10" t="e">
        <f>IF(#REF!,"AAAAAD//zZw=",0)</f>
        <v>#REF!</v>
      </c>
      <c r="FB10" t="e">
        <f>IF(#REF!,"AAAAAD//zZ0=",0)</f>
        <v>#REF!</v>
      </c>
      <c r="FC10" t="e">
        <f>IF(#REF!,"AAAAAD//zZ4=",0)</f>
        <v>#REF!</v>
      </c>
      <c r="FD10" t="e">
        <f>IF(#REF!,"AAAAAD//zZ8=",0)</f>
        <v>#REF!</v>
      </c>
      <c r="FE10" t="e">
        <f>IF(#REF!,"AAAAAD//zaA=",0)</f>
        <v>#REF!</v>
      </c>
      <c r="FF10" t="e">
        <f>IF(#REF!,"AAAAAD//zaE=",0)</f>
        <v>#REF!</v>
      </c>
      <c r="FG10" t="e">
        <f>IF(#REF!,"AAAAAD//zaI=",0)</f>
        <v>#REF!</v>
      </c>
      <c r="FH10" t="e">
        <f>IF(#REF!,"AAAAAD//zaM=",0)</f>
        <v>#REF!</v>
      </c>
      <c r="FI10" t="e">
        <f>IF(#REF!,"AAAAAD//zaQ=",0)</f>
        <v>#REF!</v>
      </c>
      <c r="FJ10" t="e">
        <f>IF(#REF!,"AAAAAD//zaU=",0)</f>
        <v>#REF!</v>
      </c>
      <c r="FK10" t="e">
        <f>IF(#REF!,"AAAAAD//zaY=",0)</f>
        <v>#REF!</v>
      </c>
      <c r="FL10" t="e">
        <f>IF(#REF!,"AAAAAD//zac=",0)</f>
        <v>#REF!</v>
      </c>
      <c r="FM10" t="e">
        <f>IF(#REF!,"AAAAAD//zag=",0)</f>
        <v>#REF!</v>
      </c>
      <c r="FN10" t="e">
        <f>IF(#REF!,"AAAAAD//zak=",0)</f>
        <v>#REF!</v>
      </c>
      <c r="FO10" t="e">
        <f>IF(#REF!,"AAAAAD//zao=",0)</f>
        <v>#REF!</v>
      </c>
      <c r="FP10" t="e">
        <f>IF(#REF!,"AAAAAD//zas=",0)</f>
        <v>#REF!</v>
      </c>
      <c r="FQ10" t="e">
        <f>IF(#REF!,"AAAAAD//zaw=",0)</f>
        <v>#REF!</v>
      </c>
      <c r="FR10" t="e">
        <f>IF(#REF!,"AAAAAD//za0=",0)</f>
        <v>#REF!</v>
      </c>
      <c r="FS10" t="e">
        <f>IF(#REF!,"AAAAAD//za4=",0)</f>
        <v>#REF!</v>
      </c>
      <c r="FT10" t="e">
        <f>IF(#REF!,"AAAAAD//za8=",0)</f>
        <v>#REF!</v>
      </c>
      <c r="FU10" t="e">
        <f>IF(#REF!,"AAAAAD//zbA=",0)</f>
        <v>#REF!</v>
      </c>
      <c r="FV10" t="e">
        <f>IF(#REF!,"AAAAAD//zbE=",0)</f>
        <v>#REF!</v>
      </c>
      <c r="FW10" t="e">
        <f>IF(#REF!,"AAAAAD//zbI=",0)</f>
        <v>#REF!</v>
      </c>
      <c r="FX10" t="e">
        <f>IF(#REF!,"AAAAAD//zbM=",0)</f>
        <v>#REF!</v>
      </c>
      <c r="FY10" t="e">
        <f>IF(#REF!,"AAAAAD//zbQ=",0)</f>
        <v>#REF!</v>
      </c>
      <c r="FZ10" t="e">
        <f>IF(#REF!,"AAAAAD//zbU=",0)</f>
        <v>#REF!</v>
      </c>
      <c r="GA10" t="e">
        <f>IF(#REF!,"AAAAAD//zbY=",0)</f>
        <v>#REF!</v>
      </c>
      <c r="GB10" t="e">
        <f>IF(#REF!,"AAAAAD//zbc=",0)</f>
        <v>#REF!</v>
      </c>
      <c r="GC10" t="e">
        <f>IF(#REF!,"AAAAAD//zbg=",0)</f>
        <v>#REF!</v>
      </c>
      <c r="GD10" t="e">
        <f>IF(#REF!,"AAAAAD//zbk=",0)</f>
        <v>#REF!</v>
      </c>
      <c r="GE10" t="e">
        <f>IF(#REF!,"AAAAAD//zbo=",0)</f>
        <v>#REF!</v>
      </c>
      <c r="GF10" t="e">
        <f>IF(#REF!,"AAAAAD//zbs=",0)</f>
        <v>#REF!</v>
      </c>
      <c r="GG10" t="e">
        <f>AND(#REF!,"AAAAAD//zbw=")</f>
        <v>#REF!</v>
      </c>
      <c r="GH10" t="e">
        <f>AND(#REF!,"AAAAAD//zb0=")</f>
        <v>#REF!</v>
      </c>
      <c r="GI10" t="e">
        <f>AND(#REF!,"AAAAAD//zb4=")</f>
        <v>#REF!</v>
      </c>
      <c r="GJ10" t="e">
        <f>AND(#REF!,"AAAAAD//zb8=")</f>
        <v>#REF!</v>
      </c>
      <c r="GK10" t="e">
        <f>AND(#REF!,"AAAAAD//zcA=")</f>
        <v>#REF!</v>
      </c>
      <c r="GL10" t="e">
        <f>IF(#REF!,"AAAAAD//zcE=",0)</f>
        <v>#REF!</v>
      </c>
      <c r="GM10" t="e">
        <f>AND(#REF!,"AAAAAD//zcI=")</f>
        <v>#REF!</v>
      </c>
      <c r="GN10" t="e">
        <f>AND(#REF!,"AAAAAD//zcM=")</f>
        <v>#REF!</v>
      </c>
      <c r="GO10" t="e">
        <f>AND(#REF!,"AAAAAD//zcQ=")</f>
        <v>#REF!</v>
      </c>
      <c r="GP10" t="e">
        <f>AND(#REF!,"AAAAAD//zcU=")</f>
        <v>#REF!</v>
      </c>
      <c r="GQ10" t="e">
        <f>AND(#REF!,"AAAAAD//zcY=")</f>
        <v>#REF!</v>
      </c>
      <c r="GR10" t="e">
        <f>IF(#REF!,"AAAAAD//zcc=",0)</f>
        <v>#REF!</v>
      </c>
      <c r="GS10" t="e">
        <f>AND(#REF!,"AAAAAD//zcg=")</f>
        <v>#REF!</v>
      </c>
      <c r="GT10" t="e">
        <f>AND(#REF!,"AAAAAD//zck=")</f>
        <v>#REF!</v>
      </c>
      <c r="GU10" t="e">
        <f>AND(#REF!,"AAAAAD//zco=")</f>
        <v>#REF!</v>
      </c>
      <c r="GV10" t="e">
        <f>AND(#REF!,"AAAAAD//zcs=")</f>
        <v>#REF!</v>
      </c>
      <c r="GW10" t="e">
        <f>AND(#REF!,"AAAAAD//zcw=")</f>
        <v>#REF!</v>
      </c>
      <c r="GX10" t="e">
        <f>IF(#REF!,"AAAAAD//zc0=",0)</f>
        <v>#REF!</v>
      </c>
      <c r="GY10" t="e">
        <f>AND(#REF!,"AAAAAD//zc4=")</f>
        <v>#REF!</v>
      </c>
      <c r="GZ10" t="e">
        <f>AND(#REF!,"AAAAAD//zc8=")</f>
        <v>#REF!</v>
      </c>
      <c r="HA10" t="e">
        <f>AND(#REF!,"AAAAAD//zdA=")</f>
        <v>#REF!</v>
      </c>
      <c r="HB10" t="e">
        <f>AND(#REF!,"AAAAAD//zdE=")</f>
        <v>#REF!</v>
      </c>
      <c r="HC10" t="e">
        <f>AND(#REF!,"AAAAAD//zdI=")</f>
        <v>#REF!</v>
      </c>
      <c r="HD10" t="e">
        <f>IF(#REF!,"AAAAAD//zdM=",0)</f>
        <v>#REF!</v>
      </c>
      <c r="HE10" t="e">
        <f>AND(#REF!,"AAAAAD//zdQ=")</f>
        <v>#REF!</v>
      </c>
      <c r="HF10" t="e">
        <f>AND(#REF!,"AAAAAD//zdU=")</f>
        <v>#REF!</v>
      </c>
      <c r="HG10" t="e">
        <f>AND(#REF!,"AAAAAD//zdY=")</f>
        <v>#REF!</v>
      </c>
      <c r="HH10" t="e">
        <f>AND(#REF!,"AAAAAD//zdc=")</f>
        <v>#REF!</v>
      </c>
      <c r="HI10" t="e">
        <f>AND(#REF!,"AAAAAD//zdg=")</f>
        <v>#REF!</v>
      </c>
      <c r="HJ10" t="e">
        <f>IF(#REF!,"AAAAAD//zdk=",0)</f>
        <v>#REF!</v>
      </c>
      <c r="HK10" t="e">
        <f>AND(#REF!,"AAAAAD//zdo=")</f>
        <v>#REF!</v>
      </c>
      <c r="HL10" t="e">
        <f>AND(#REF!,"AAAAAD//zds=")</f>
        <v>#REF!</v>
      </c>
      <c r="HM10" t="e">
        <f>AND(#REF!,"AAAAAD//zdw=")</f>
        <v>#REF!</v>
      </c>
      <c r="HN10" t="e">
        <f>AND(#REF!,"AAAAAD//zd0=")</f>
        <v>#REF!</v>
      </c>
      <c r="HO10" t="e">
        <f>AND(#REF!,"AAAAAD//zd4=")</f>
        <v>#REF!</v>
      </c>
      <c r="HP10" t="e">
        <f>IF(#REF!,"AAAAAD//zd8=",0)</f>
        <v>#REF!</v>
      </c>
      <c r="HQ10" t="e">
        <f>AND(#REF!,"AAAAAD//zeA=")</f>
        <v>#REF!</v>
      </c>
      <c r="HR10" t="e">
        <f>AND(#REF!,"AAAAAD//zeE=")</f>
        <v>#REF!</v>
      </c>
      <c r="HS10" t="e">
        <f>AND(#REF!,"AAAAAD//zeI=")</f>
        <v>#REF!</v>
      </c>
      <c r="HT10" t="e">
        <f>AND(#REF!,"AAAAAD//zeM=")</f>
        <v>#REF!</v>
      </c>
      <c r="HU10" t="e">
        <f>AND(#REF!,"AAAAAD//zeQ=")</f>
        <v>#REF!</v>
      </c>
      <c r="HV10" t="e">
        <f>IF(#REF!,"AAAAAD//zeU=",0)</f>
        <v>#REF!</v>
      </c>
      <c r="HW10" t="e">
        <f>AND(#REF!,"AAAAAD//zeY=")</f>
        <v>#REF!</v>
      </c>
      <c r="HX10" t="e">
        <f>AND(#REF!,"AAAAAD//zec=")</f>
        <v>#REF!</v>
      </c>
      <c r="HY10" t="e">
        <f>AND(#REF!,"AAAAAD//zeg=")</f>
        <v>#REF!</v>
      </c>
      <c r="HZ10" t="e">
        <f>AND(#REF!,"AAAAAD//zek=")</f>
        <v>#REF!</v>
      </c>
      <c r="IA10" t="e">
        <f>AND(#REF!,"AAAAAD//zeo=")</f>
        <v>#REF!</v>
      </c>
      <c r="IB10" t="e">
        <f>IF(#REF!,"AAAAAD//zes=",0)</f>
        <v>#REF!</v>
      </c>
      <c r="IC10" t="e">
        <f>AND(#REF!,"AAAAAD//zew=")</f>
        <v>#REF!</v>
      </c>
      <c r="ID10" t="e">
        <f>AND(#REF!,"AAAAAD//ze0=")</f>
        <v>#REF!</v>
      </c>
      <c r="IE10" t="e">
        <f>AND(#REF!,"AAAAAD//ze4=")</f>
        <v>#REF!</v>
      </c>
      <c r="IF10" t="e">
        <f>AND(#REF!,"AAAAAD//ze8=")</f>
        <v>#REF!</v>
      </c>
      <c r="IG10" t="e">
        <f>AND(#REF!,"AAAAAD//zfA=")</f>
        <v>#REF!</v>
      </c>
      <c r="IH10" t="e">
        <f>IF(#REF!,"AAAAAD//zfE=",0)</f>
        <v>#REF!</v>
      </c>
      <c r="II10" t="e">
        <f>AND(#REF!,"AAAAAD//zfI=")</f>
        <v>#REF!</v>
      </c>
      <c r="IJ10" t="e">
        <f>AND(#REF!,"AAAAAD//zfM=")</f>
        <v>#REF!</v>
      </c>
      <c r="IK10" t="e">
        <f>AND(#REF!,"AAAAAD//zfQ=")</f>
        <v>#REF!</v>
      </c>
      <c r="IL10" t="e">
        <f>AND(#REF!,"AAAAAD//zfU=")</f>
        <v>#REF!</v>
      </c>
      <c r="IM10" t="e">
        <f>AND(#REF!,"AAAAAD//zfY=")</f>
        <v>#REF!</v>
      </c>
      <c r="IN10" t="e">
        <f>IF(#REF!,"AAAAAD//zfc=",0)</f>
        <v>#REF!</v>
      </c>
      <c r="IO10" t="e">
        <f>AND(#REF!,"AAAAAD//zfg=")</f>
        <v>#REF!</v>
      </c>
      <c r="IP10" t="e">
        <f>AND(#REF!,"AAAAAD//zfk=")</f>
        <v>#REF!</v>
      </c>
      <c r="IQ10" t="e">
        <f>AND(#REF!,"AAAAAD//zfo=")</f>
        <v>#REF!</v>
      </c>
      <c r="IR10" t="e">
        <f>AND(#REF!,"AAAAAD//zfs=")</f>
        <v>#REF!</v>
      </c>
      <c r="IS10" t="e">
        <f>AND(#REF!,"AAAAAD//zfw=")</f>
        <v>#REF!</v>
      </c>
      <c r="IT10" t="e">
        <f>IF(#REF!,"AAAAAD//zf0=",0)</f>
        <v>#REF!</v>
      </c>
      <c r="IU10" t="e">
        <f>AND(#REF!,"AAAAAD//zf4=")</f>
        <v>#REF!</v>
      </c>
      <c r="IV10" t="e">
        <f>AND(#REF!,"AAAAAD//zf8=")</f>
        <v>#REF!</v>
      </c>
    </row>
    <row r="11" spans="1:256" ht="12.75">
      <c r="A11" t="e">
        <f>AND(#REF!,"AAAAAHn9+wA=")</f>
        <v>#REF!</v>
      </c>
      <c r="B11" t="e">
        <f>AND(#REF!,"AAAAAHn9+wE=")</f>
        <v>#REF!</v>
      </c>
      <c r="C11" t="e">
        <f>AND(#REF!,"AAAAAHn9+wI=")</f>
        <v>#REF!</v>
      </c>
      <c r="D11" t="e">
        <f>IF(#REF!,"AAAAAHn9+wM=",0)</f>
        <v>#REF!</v>
      </c>
      <c r="E11" t="e">
        <f>AND(#REF!,"AAAAAHn9+wQ=")</f>
        <v>#REF!</v>
      </c>
      <c r="F11" t="e">
        <f>AND(#REF!,"AAAAAHn9+wU=")</f>
        <v>#REF!</v>
      </c>
      <c r="G11" t="e">
        <f>AND(#REF!,"AAAAAHn9+wY=")</f>
        <v>#REF!</v>
      </c>
      <c r="H11" t="e">
        <f>AND(#REF!,"AAAAAHn9+wc=")</f>
        <v>#REF!</v>
      </c>
      <c r="I11" t="e">
        <f>AND(#REF!,"AAAAAHn9+wg=")</f>
        <v>#REF!</v>
      </c>
      <c r="J11" t="e">
        <f>IF(#REF!,"AAAAAHn9+wk=",0)</f>
        <v>#REF!</v>
      </c>
      <c r="K11" t="e">
        <f>AND(#REF!,"AAAAAHn9+wo=")</f>
        <v>#REF!</v>
      </c>
      <c r="L11" t="e">
        <f>AND(#REF!,"AAAAAHn9+ws=")</f>
        <v>#REF!</v>
      </c>
      <c r="M11" t="e">
        <f>AND(#REF!,"AAAAAHn9+ww=")</f>
        <v>#REF!</v>
      </c>
      <c r="N11" t="e">
        <f>AND(#REF!,"AAAAAHn9+w0=")</f>
        <v>#REF!</v>
      </c>
      <c r="O11" t="e">
        <f>AND(#REF!,"AAAAAHn9+w4=")</f>
        <v>#REF!</v>
      </c>
      <c r="P11" t="e">
        <f>IF(#REF!,"AAAAAHn9+w8=",0)</f>
        <v>#REF!</v>
      </c>
      <c r="Q11" t="e">
        <f>AND(#REF!,"AAAAAHn9+xA=")</f>
        <v>#REF!</v>
      </c>
      <c r="R11" t="e">
        <f>AND(#REF!,"AAAAAHn9+xE=")</f>
        <v>#REF!</v>
      </c>
      <c r="S11" t="e">
        <f>AND(#REF!,"AAAAAHn9+xI=")</f>
        <v>#REF!</v>
      </c>
      <c r="T11" t="e">
        <f>AND(#REF!,"AAAAAHn9+xM=")</f>
        <v>#REF!</v>
      </c>
      <c r="U11" t="e">
        <f>AND(#REF!,"AAAAAHn9+xQ=")</f>
        <v>#REF!</v>
      </c>
      <c r="V11" t="e">
        <f>IF(#REF!,"AAAAAHn9+xU=",0)</f>
        <v>#REF!</v>
      </c>
      <c r="W11" t="e">
        <f>AND(#REF!,"AAAAAHn9+xY=")</f>
        <v>#REF!</v>
      </c>
      <c r="X11" t="e">
        <f>AND(#REF!,"AAAAAHn9+xc=")</f>
        <v>#REF!</v>
      </c>
      <c r="Y11" t="e">
        <f>AND(#REF!,"AAAAAHn9+xg=")</f>
        <v>#REF!</v>
      </c>
      <c r="Z11" t="e">
        <f>AND(#REF!,"AAAAAHn9+xk=")</f>
        <v>#REF!</v>
      </c>
      <c r="AA11" t="e">
        <f>AND(#REF!,"AAAAAHn9+xo=")</f>
        <v>#REF!</v>
      </c>
      <c r="AB11" t="e">
        <f>IF(#REF!,"AAAAAHn9+xs=",0)</f>
        <v>#REF!</v>
      </c>
      <c r="AC11" t="e">
        <f>AND(#REF!,"AAAAAHn9+xw=")</f>
        <v>#REF!</v>
      </c>
      <c r="AD11" t="e">
        <f>AND(#REF!,"AAAAAHn9+x0=")</f>
        <v>#REF!</v>
      </c>
      <c r="AE11" t="e">
        <f>AND(#REF!,"AAAAAHn9+x4=")</f>
        <v>#REF!</v>
      </c>
      <c r="AF11" t="e">
        <f>AND(#REF!,"AAAAAHn9+x8=")</f>
        <v>#REF!</v>
      </c>
      <c r="AG11" t="e">
        <f>AND(#REF!,"AAAAAHn9+yA=")</f>
        <v>#REF!</v>
      </c>
      <c r="AH11" t="e">
        <f>IF(#REF!,"AAAAAHn9+yE=",0)</f>
        <v>#REF!</v>
      </c>
      <c r="AI11" t="e">
        <f>AND(#REF!,"AAAAAHn9+yI=")</f>
        <v>#REF!</v>
      </c>
      <c r="AJ11" t="e">
        <f>AND(#REF!,"AAAAAHn9+yM=")</f>
        <v>#REF!</v>
      </c>
      <c r="AK11" t="e">
        <f>AND(#REF!,"AAAAAHn9+yQ=")</f>
        <v>#REF!</v>
      </c>
      <c r="AL11" t="e">
        <f>AND(#REF!,"AAAAAHn9+yU=")</f>
        <v>#REF!</v>
      </c>
      <c r="AM11" t="e">
        <f>AND(#REF!,"AAAAAHn9+yY=")</f>
        <v>#REF!</v>
      </c>
      <c r="AN11" t="e">
        <f>IF(#REF!,"AAAAAHn9+yc=",0)</f>
        <v>#REF!</v>
      </c>
      <c r="AO11" t="e">
        <f>AND(#REF!,"AAAAAHn9+yg=")</f>
        <v>#REF!</v>
      </c>
      <c r="AP11" t="e">
        <f>AND(#REF!,"AAAAAHn9+yk=")</f>
        <v>#REF!</v>
      </c>
      <c r="AQ11" t="e">
        <f>AND(#REF!,"AAAAAHn9+yo=")</f>
        <v>#REF!</v>
      </c>
      <c r="AR11" t="e">
        <f>AND(#REF!,"AAAAAHn9+ys=")</f>
        <v>#REF!</v>
      </c>
      <c r="AS11" t="e">
        <f>AND(#REF!,"AAAAAHn9+yw=")</f>
        <v>#REF!</v>
      </c>
      <c r="AT11" t="e">
        <f>IF(#REF!,"AAAAAHn9+y0=",0)</f>
        <v>#REF!</v>
      </c>
      <c r="AU11" t="e">
        <f>AND(#REF!,"AAAAAHn9+y4=")</f>
        <v>#REF!</v>
      </c>
      <c r="AV11" t="e">
        <f>AND(#REF!,"AAAAAHn9+y8=")</f>
        <v>#REF!</v>
      </c>
      <c r="AW11" t="e">
        <f>AND(#REF!,"AAAAAHn9+zA=")</f>
        <v>#REF!</v>
      </c>
      <c r="AX11" t="e">
        <f>AND(#REF!,"AAAAAHn9+zE=")</f>
        <v>#REF!</v>
      </c>
      <c r="AY11" t="e">
        <f>AND(#REF!,"AAAAAHn9+zI=")</f>
        <v>#REF!</v>
      </c>
      <c r="AZ11" t="e">
        <f>IF(#REF!,"AAAAAHn9+zM=",0)</f>
        <v>#REF!</v>
      </c>
      <c r="BA11" t="e">
        <f>AND(#REF!,"AAAAAHn9+zQ=")</f>
        <v>#REF!</v>
      </c>
      <c r="BB11" t="e">
        <f>AND(#REF!,"AAAAAHn9+zU=")</f>
        <v>#REF!</v>
      </c>
      <c r="BC11" t="e">
        <f>AND(#REF!,"AAAAAHn9+zY=")</f>
        <v>#REF!</v>
      </c>
      <c r="BD11" t="e">
        <f>AND(#REF!,"AAAAAHn9+zc=")</f>
        <v>#REF!</v>
      </c>
      <c r="BE11" t="e">
        <f>AND(#REF!,"AAAAAHn9+zg=")</f>
        <v>#REF!</v>
      </c>
      <c r="BF11" t="e">
        <f>IF(#REF!,"AAAAAHn9+zk=",0)</f>
        <v>#REF!</v>
      </c>
      <c r="BG11" t="e">
        <f>AND(#REF!,"AAAAAHn9+zo=")</f>
        <v>#REF!</v>
      </c>
      <c r="BH11" t="e">
        <f>AND(#REF!,"AAAAAHn9+zs=")</f>
        <v>#REF!</v>
      </c>
      <c r="BI11" t="e">
        <f>AND(#REF!,"AAAAAHn9+zw=")</f>
        <v>#REF!</v>
      </c>
      <c r="BJ11" t="e">
        <f>AND(#REF!,"AAAAAHn9+z0=")</f>
        <v>#REF!</v>
      </c>
      <c r="BK11" t="e">
        <f>AND(#REF!,"AAAAAHn9+z4=")</f>
        <v>#REF!</v>
      </c>
      <c r="BL11" t="e">
        <f>IF(#REF!,"AAAAAHn9+z8=",0)</f>
        <v>#REF!</v>
      </c>
      <c r="BM11" t="e">
        <f>AND(#REF!,"AAAAAHn9+0A=")</f>
        <v>#REF!</v>
      </c>
      <c r="BN11" t="e">
        <f>AND(#REF!,"AAAAAHn9+0E=")</f>
        <v>#REF!</v>
      </c>
      <c r="BO11" t="e">
        <f>AND(#REF!,"AAAAAHn9+0I=")</f>
        <v>#REF!</v>
      </c>
      <c r="BP11" t="e">
        <f>AND(#REF!,"AAAAAHn9+0M=")</f>
        <v>#REF!</v>
      </c>
      <c r="BQ11" t="e">
        <f>AND(#REF!,"AAAAAHn9+0Q=")</f>
        <v>#REF!</v>
      </c>
      <c r="BR11" t="e">
        <f>IF(#REF!,"AAAAAHn9+0U=",0)</f>
        <v>#REF!</v>
      </c>
      <c r="BS11" t="e">
        <f>AND(#REF!,"AAAAAHn9+0Y=")</f>
        <v>#REF!</v>
      </c>
      <c r="BT11" t="e">
        <f>AND(#REF!,"AAAAAHn9+0c=")</f>
        <v>#REF!</v>
      </c>
      <c r="BU11" t="e">
        <f>AND(#REF!,"AAAAAHn9+0g=")</f>
        <v>#REF!</v>
      </c>
      <c r="BV11" t="e">
        <f>AND(#REF!,"AAAAAHn9+0k=")</f>
        <v>#REF!</v>
      </c>
      <c r="BW11" t="e">
        <f>AND(#REF!,"AAAAAHn9+0o=")</f>
        <v>#REF!</v>
      </c>
      <c r="BX11" t="e">
        <f>IF(#REF!,"AAAAAHn9+0s=",0)</f>
        <v>#REF!</v>
      </c>
      <c r="BY11" t="e">
        <f>AND(#REF!,"AAAAAHn9+0w=")</f>
        <v>#REF!</v>
      </c>
      <c r="BZ11" t="e">
        <f>AND(#REF!,"AAAAAHn9+00=")</f>
        <v>#REF!</v>
      </c>
      <c r="CA11" t="e">
        <f>AND(#REF!,"AAAAAHn9+04=")</f>
        <v>#REF!</v>
      </c>
      <c r="CB11" t="e">
        <f>AND(#REF!,"AAAAAHn9+08=")</f>
        <v>#REF!</v>
      </c>
      <c r="CC11" t="e">
        <f>AND(#REF!,"AAAAAHn9+1A=")</f>
        <v>#REF!</v>
      </c>
      <c r="CD11" t="e">
        <f>IF(#REF!,"AAAAAHn9+1E=",0)</f>
        <v>#REF!</v>
      </c>
      <c r="CE11" t="e">
        <f>AND(#REF!,"AAAAAHn9+1I=")</f>
        <v>#REF!</v>
      </c>
      <c r="CF11" t="e">
        <f>AND(#REF!,"AAAAAHn9+1M=")</f>
        <v>#REF!</v>
      </c>
      <c r="CG11" t="e">
        <f>AND(#REF!,"AAAAAHn9+1Q=")</f>
        <v>#REF!</v>
      </c>
      <c r="CH11" t="e">
        <f>AND(#REF!,"AAAAAHn9+1U=")</f>
        <v>#REF!</v>
      </c>
      <c r="CI11" t="e">
        <f>AND(#REF!,"AAAAAHn9+1Y=")</f>
        <v>#REF!</v>
      </c>
      <c r="CJ11" t="e">
        <f>IF(#REF!,"AAAAAHn9+1c=",0)</f>
        <v>#REF!</v>
      </c>
      <c r="CK11" t="e">
        <f>AND(#REF!,"AAAAAHn9+1g=")</f>
        <v>#REF!</v>
      </c>
      <c r="CL11" t="e">
        <f>AND(#REF!,"AAAAAHn9+1k=")</f>
        <v>#REF!</v>
      </c>
      <c r="CM11" t="e">
        <f>AND(#REF!,"AAAAAHn9+1o=")</f>
        <v>#REF!</v>
      </c>
      <c r="CN11" t="e">
        <f>AND(#REF!,"AAAAAHn9+1s=")</f>
        <v>#REF!</v>
      </c>
      <c r="CO11" t="e">
        <f>AND(#REF!,"AAAAAHn9+1w=")</f>
        <v>#REF!</v>
      </c>
      <c r="CP11" t="e">
        <f>IF(#REF!,"AAAAAHn9+10=",0)</f>
        <v>#REF!</v>
      </c>
      <c r="CQ11" t="e">
        <f>AND(#REF!,"AAAAAHn9+14=")</f>
        <v>#REF!</v>
      </c>
      <c r="CR11" t="e">
        <f>AND(#REF!,"AAAAAHn9+18=")</f>
        <v>#REF!</v>
      </c>
      <c r="CS11" t="e">
        <f>AND(#REF!,"AAAAAHn9+2A=")</f>
        <v>#REF!</v>
      </c>
      <c r="CT11" t="e">
        <f>AND(#REF!,"AAAAAHn9+2E=")</f>
        <v>#REF!</v>
      </c>
      <c r="CU11" t="e">
        <f>AND(#REF!,"AAAAAHn9+2I=")</f>
        <v>#REF!</v>
      </c>
      <c r="CV11" t="e">
        <f>IF(#REF!,"AAAAAHn9+2M=",0)</f>
        <v>#REF!</v>
      </c>
      <c r="CW11" t="e">
        <f>AND(#REF!,"AAAAAHn9+2Q=")</f>
        <v>#REF!</v>
      </c>
      <c r="CX11" t="e">
        <f>AND(#REF!,"AAAAAHn9+2U=")</f>
        <v>#REF!</v>
      </c>
      <c r="CY11" t="e">
        <f>AND(#REF!,"AAAAAHn9+2Y=")</f>
        <v>#REF!</v>
      </c>
      <c r="CZ11" t="e">
        <f>AND(#REF!,"AAAAAHn9+2c=")</f>
        <v>#REF!</v>
      </c>
      <c r="DA11" t="e">
        <f>AND(#REF!,"AAAAAHn9+2g=")</f>
        <v>#REF!</v>
      </c>
      <c r="DB11" t="e">
        <f>IF(#REF!,"AAAAAHn9+2k=",0)</f>
        <v>#REF!</v>
      </c>
      <c r="DC11" t="e">
        <f>AND(#REF!,"AAAAAHn9+2o=")</f>
        <v>#REF!</v>
      </c>
      <c r="DD11" t="e">
        <f>AND(#REF!,"AAAAAHn9+2s=")</f>
        <v>#REF!</v>
      </c>
      <c r="DE11" t="e">
        <f>AND(#REF!,"AAAAAHn9+2w=")</f>
        <v>#REF!</v>
      </c>
      <c r="DF11" t="e">
        <f>AND(#REF!,"AAAAAHn9+20=")</f>
        <v>#REF!</v>
      </c>
      <c r="DG11" t="e">
        <f>AND(#REF!,"AAAAAHn9+24=")</f>
        <v>#REF!</v>
      </c>
      <c r="DH11" t="e">
        <f>IF(#REF!,"AAAAAHn9+28=",0)</f>
        <v>#REF!</v>
      </c>
      <c r="DI11" t="e">
        <f>AND(#REF!,"AAAAAHn9+3A=")</f>
        <v>#REF!</v>
      </c>
      <c r="DJ11" t="e">
        <f>AND(#REF!,"AAAAAHn9+3E=")</f>
        <v>#REF!</v>
      </c>
      <c r="DK11" t="e">
        <f>AND(#REF!,"AAAAAHn9+3I=")</f>
        <v>#REF!</v>
      </c>
      <c r="DL11" t="e">
        <f>AND(#REF!,"AAAAAHn9+3M=")</f>
        <v>#REF!</v>
      </c>
      <c r="DM11" t="e">
        <f>AND(#REF!,"AAAAAHn9+3Q=")</f>
        <v>#REF!</v>
      </c>
      <c r="DN11" t="e">
        <f>IF(#REF!,"AAAAAHn9+3U=",0)</f>
        <v>#REF!</v>
      </c>
      <c r="DO11" t="e">
        <f>AND(#REF!,"AAAAAHn9+3Y=")</f>
        <v>#REF!</v>
      </c>
      <c r="DP11" t="e">
        <f>AND(#REF!,"AAAAAHn9+3c=")</f>
        <v>#REF!</v>
      </c>
      <c r="DQ11" t="e">
        <f>AND(#REF!,"AAAAAHn9+3g=")</f>
        <v>#REF!</v>
      </c>
      <c r="DR11" t="e">
        <f>AND(#REF!,"AAAAAHn9+3k=")</f>
        <v>#REF!</v>
      </c>
      <c r="DS11" t="e">
        <f>AND(#REF!,"AAAAAHn9+3o=")</f>
        <v>#REF!</v>
      </c>
      <c r="DT11" t="e">
        <f>IF(#REF!,"AAAAAHn9+3s=",0)</f>
        <v>#REF!</v>
      </c>
      <c r="DU11" t="e">
        <f>AND(#REF!,"AAAAAHn9+3w=")</f>
        <v>#REF!</v>
      </c>
      <c r="DV11" t="e">
        <f>AND(#REF!,"AAAAAHn9+30=")</f>
        <v>#REF!</v>
      </c>
      <c r="DW11" t="e">
        <f>AND(#REF!,"AAAAAHn9+34=")</f>
        <v>#REF!</v>
      </c>
      <c r="DX11" t="e">
        <f>AND(#REF!,"AAAAAHn9+38=")</f>
        <v>#REF!</v>
      </c>
      <c r="DY11" t="e">
        <f>AND(#REF!,"AAAAAHn9+4A=")</f>
        <v>#REF!</v>
      </c>
      <c r="DZ11" t="e">
        <f>IF(#REF!,"AAAAAHn9+4E=",0)</f>
        <v>#REF!</v>
      </c>
      <c r="EA11" t="e">
        <f>AND(#REF!,"AAAAAHn9+4I=")</f>
        <v>#REF!</v>
      </c>
      <c r="EB11" t="e">
        <f>AND(#REF!,"AAAAAHn9+4M=")</f>
        <v>#REF!</v>
      </c>
      <c r="EC11" t="e">
        <f>AND(#REF!,"AAAAAHn9+4Q=")</f>
        <v>#REF!</v>
      </c>
      <c r="ED11" t="e">
        <f>AND(#REF!,"AAAAAHn9+4U=")</f>
        <v>#REF!</v>
      </c>
      <c r="EE11" t="e">
        <f>AND(#REF!,"AAAAAHn9+4Y=")</f>
        <v>#REF!</v>
      </c>
      <c r="EF11" t="e">
        <f>IF(#REF!,"AAAAAHn9+4c=",0)</f>
        <v>#REF!</v>
      </c>
      <c r="EG11" t="e">
        <f>AND(#REF!,"AAAAAHn9+4g=")</f>
        <v>#REF!</v>
      </c>
      <c r="EH11" t="e">
        <f>AND(#REF!,"AAAAAHn9+4k=")</f>
        <v>#REF!</v>
      </c>
      <c r="EI11" t="e">
        <f>AND(#REF!,"AAAAAHn9+4o=")</f>
        <v>#REF!</v>
      </c>
      <c r="EJ11" t="e">
        <f>AND(#REF!,"AAAAAHn9+4s=")</f>
        <v>#REF!</v>
      </c>
      <c r="EK11" t="e">
        <f>AND(#REF!,"AAAAAHn9+4w=")</f>
        <v>#REF!</v>
      </c>
      <c r="EL11" t="e">
        <f>IF(#REF!,"AAAAAHn9+40=",0)</f>
        <v>#REF!</v>
      </c>
      <c r="EM11" t="e">
        <f>AND(#REF!,"AAAAAHn9+44=")</f>
        <v>#REF!</v>
      </c>
      <c r="EN11" t="e">
        <f>AND(#REF!,"AAAAAHn9+48=")</f>
        <v>#REF!</v>
      </c>
      <c r="EO11" t="e">
        <f>AND(#REF!,"AAAAAHn9+5A=")</f>
        <v>#REF!</v>
      </c>
      <c r="EP11" t="e">
        <f>AND(#REF!,"AAAAAHn9+5E=")</f>
        <v>#REF!</v>
      </c>
      <c r="EQ11" t="e">
        <f>AND(#REF!,"AAAAAHn9+5I=")</f>
        <v>#REF!</v>
      </c>
      <c r="ER11" t="e">
        <f>IF(#REF!,"AAAAAHn9+5M=",0)</f>
        <v>#REF!</v>
      </c>
      <c r="ES11" t="e">
        <f>AND(#REF!,"AAAAAHn9+5Q=")</f>
        <v>#REF!</v>
      </c>
      <c r="ET11" t="e">
        <f>AND(#REF!,"AAAAAHn9+5U=")</f>
        <v>#REF!</v>
      </c>
      <c r="EU11" t="e">
        <f>AND(#REF!,"AAAAAHn9+5Y=")</f>
        <v>#REF!</v>
      </c>
      <c r="EV11" t="e">
        <f>AND(#REF!,"AAAAAHn9+5c=")</f>
        <v>#REF!</v>
      </c>
      <c r="EW11" t="e">
        <f>AND(#REF!,"AAAAAHn9+5g=")</f>
        <v>#REF!</v>
      </c>
      <c r="EX11" t="e">
        <f>IF(#REF!,"AAAAAHn9+5k=",0)</f>
        <v>#REF!</v>
      </c>
      <c r="EY11" t="e">
        <f>AND(#REF!,"AAAAAHn9+5o=")</f>
        <v>#REF!</v>
      </c>
      <c r="EZ11" t="e">
        <f>AND(#REF!,"AAAAAHn9+5s=")</f>
        <v>#REF!</v>
      </c>
      <c r="FA11" t="e">
        <f>AND(#REF!,"AAAAAHn9+5w=")</f>
        <v>#REF!</v>
      </c>
      <c r="FB11" t="e">
        <f>AND(#REF!,"AAAAAHn9+50=")</f>
        <v>#REF!</v>
      </c>
      <c r="FC11" t="e">
        <f>AND(#REF!,"AAAAAHn9+54=")</f>
        <v>#REF!</v>
      </c>
      <c r="FD11" t="e">
        <f>IF(#REF!,"AAAAAHn9+58=",0)</f>
        <v>#REF!</v>
      </c>
      <c r="FE11" t="e">
        <f>AND(#REF!,"AAAAAHn9+6A=")</f>
        <v>#REF!</v>
      </c>
      <c r="FF11" t="e">
        <f>AND(#REF!,"AAAAAHn9+6E=")</f>
        <v>#REF!</v>
      </c>
      <c r="FG11" t="e">
        <f>AND(#REF!,"AAAAAHn9+6I=")</f>
        <v>#REF!</v>
      </c>
      <c r="FH11" t="e">
        <f>AND(#REF!,"AAAAAHn9+6M=")</f>
        <v>#REF!</v>
      </c>
      <c r="FI11" t="e">
        <f>AND(#REF!,"AAAAAHn9+6Q=")</f>
        <v>#REF!</v>
      </c>
      <c r="FJ11" t="e">
        <f>IF(#REF!,"AAAAAHn9+6U=",0)</f>
        <v>#REF!</v>
      </c>
      <c r="FK11" t="e">
        <f>AND(#REF!,"AAAAAHn9+6Y=")</f>
        <v>#REF!</v>
      </c>
      <c r="FL11" t="e">
        <f>AND(#REF!,"AAAAAHn9+6c=")</f>
        <v>#REF!</v>
      </c>
      <c r="FM11" t="e">
        <f>AND(#REF!,"AAAAAHn9+6g=")</f>
        <v>#REF!</v>
      </c>
      <c r="FN11" t="e">
        <f>AND(#REF!,"AAAAAHn9+6k=")</f>
        <v>#REF!</v>
      </c>
      <c r="FO11" t="e">
        <f>AND(#REF!,"AAAAAHn9+6o=")</f>
        <v>#REF!</v>
      </c>
      <c r="FP11" t="e">
        <f>IF(#REF!,"AAAAAHn9+6s=",0)</f>
        <v>#REF!</v>
      </c>
      <c r="FQ11" t="e">
        <f>AND(#REF!,"AAAAAHn9+6w=")</f>
        <v>#REF!</v>
      </c>
      <c r="FR11" t="e">
        <f>AND(#REF!,"AAAAAHn9+60=")</f>
        <v>#REF!</v>
      </c>
      <c r="FS11" t="e">
        <f>AND(#REF!,"AAAAAHn9+64=")</f>
        <v>#REF!</v>
      </c>
      <c r="FT11" t="e">
        <f>AND(#REF!,"AAAAAHn9+68=")</f>
        <v>#REF!</v>
      </c>
      <c r="FU11" t="e">
        <f>AND(#REF!,"AAAAAHn9+7A=")</f>
        <v>#REF!</v>
      </c>
      <c r="FV11" t="e">
        <f>IF(#REF!,"AAAAAHn9+7E=",0)</f>
        <v>#REF!</v>
      </c>
      <c r="FW11" t="e">
        <f>AND(#REF!,"AAAAAHn9+7I=")</f>
        <v>#REF!</v>
      </c>
      <c r="FX11" t="e">
        <f>AND(#REF!,"AAAAAHn9+7M=")</f>
        <v>#REF!</v>
      </c>
      <c r="FY11" t="e">
        <f>AND(#REF!,"AAAAAHn9+7Q=")</f>
        <v>#REF!</v>
      </c>
      <c r="FZ11" t="e">
        <f>AND(#REF!,"AAAAAHn9+7U=")</f>
        <v>#REF!</v>
      </c>
      <c r="GA11" t="e">
        <f>AND(#REF!,"AAAAAHn9+7Y=")</f>
        <v>#REF!</v>
      </c>
      <c r="GB11" t="e">
        <f>IF(#REF!,"AAAAAHn9+7c=",0)</f>
        <v>#REF!</v>
      </c>
      <c r="GC11" t="e">
        <f>AND(#REF!,"AAAAAHn9+7g=")</f>
        <v>#REF!</v>
      </c>
      <c r="GD11" t="e">
        <f>AND(#REF!,"AAAAAHn9+7k=")</f>
        <v>#REF!</v>
      </c>
      <c r="GE11" t="e">
        <f>AND(#REF!,"AAAAAHn9+7o=")</f>
        <v>#REF!</v>
      </c>
      <c r="GF11" t="e">
        <f>AND(#REF!,"AAAAAHn9+7s=")</f>
        <v>#REF!</v>
      </c>
      <c r="GG11" t="e">
        <f>AND(#REF!,"AAAAAHn9+7w=")</f>
        <v>#REF!</v>
      </c>
      <c r="GH11" t="e">
        <f>IF(#REF!,"AAAAAHn9+70=",0)</f>
        <v>#REF!</v>
      </c>
      <c r="GI11" t="e">
        <f>AND(#REF!,"AAAAAHn9+74=")</f>
        <v>#REF!</v>
      </c>
      <c r="GJ11" t="e">
        <f>AND(#REF!,"AAAAAHn9+78=")</f>
        <v>#REF!</v>
      </c>
      <c r="GK11" t="e">
        <f>AND(#REF!,"AAAAAHn9+8A=")</f>
        <v>#REF!</v>
      </c>
      <c r="GL11" t="e">
        <f>AND(#REF!,"AAAAAHn9+8E=")</f>
        <v>#REF!</v>
      </c>
      <c r="GM11" t="e">
        <f>AND(#REF!,"AAAAAHn9+8I=")</f>
        <v>#REF!</v>
      </c>
      <c r="GN11" t="e">
        <f>IF(#REF!,"AAAAAHn9+8M=",0)</f>
        <v>#REF!</v>
      </c>
      <c r="GO11" t="e">
        <f>AND(#REF!,"AAAAAHn9+8Q=")</f>
        <v>#REF!</v>
      </c>
      <c r="GP11" t="e">
        <f>AND(#REF!,"AAAAAHn9+8U=")</f>
        <v>#REF!</v>
      </c>
      <c r="GQ11" t="e">
        <f>AND(#REF!,"AAAAAHn9+8Y=")</f>
        <v>#REF!</v>
      </c>
      <c r="GR11" t="e">
        <f>AND(#REF!,"AAAAAHn9+8c=")</f>
        <v>#REF!</v>
      </c>
      <c r="GS11" t="e">
        <f>AND(#REF!,"AAAAAHn9+8g=")</f>
        <v>#REF!</v>
      </c>
      <c r="GT11" t="e">
        <f>IF(#REF!,"AAAAAHn9+8k=",0)</f>
        <v>#REF!</v>
      </c>
      <c r="GU11" t="e">
        <f>AND(#REF!,"AAAAAHn9+8o=")</f>
        <v>#REF!</v>
      </c>
      <c r="GV11" t="e">
        <f>AND(#REF!,"AAAAAHn9+8s=")</f>
        <v>#REF!</v>
      </c>
      <c r="GW11" t="e">
        <f>AND(#REF!,"AAAAAHn9+8w=")</f>
        <v>#REF!</v>
      </c>
      <c r="GX11" t="e">
        <f>AND(#REF!,"AAAAAHn9+80=")</f>
        <v>#REF!</v>
      </c>
      <c r="GY11" t="e">
        <f>AND(#REF!,"AAAAAHn9+84=")</f>
        <v>#REF!</v>
      </c>
      <c r="GZ11" t="e">
        <f>IF(#REF!,"AAAAAHn9+88=",0)</f>
        <v>#REF!</v>
      </c>
      <c r="HA11" t="e">
        <f>AND(#REF!,"AAAAAHn9+9A=")</f>
        <v>#REF!</v>
      </c>
      <c r="HB11" t="e">
        <f>AND(#REF!,"AAAAAHn9+9E=")</f>
        <v>#REF!</v>
      </c>
      <c r="HC11" t="e">
        <f>AND(#REF!,"AAAAAHn9+9I=")</f>
        <v>#REF!</v>
      </c>
      <c r="HD11" t="e">
        <f>AND(#REF!,"AAAAAHn9+9M=")</f>
        <v>#REF!</v>
      </c>
      <c r="HE11" t="e">
        <f>AND(#REF!,"AAAAAHn9+9Q=")</f>
        <v>#REF!</v>
      </c>
      <c r="HF11" t="e">
        <f>IF(#REF!,"AAAAAHn9+9U=",0)</f>
        <v>#REF!</v>
      </c>
      <c r="HG11" t="e">
        <f>AND(#REF!,"AAAAAHn9+9Y=")</f>
        <v>#REF!</v>
      </c>
      <c r="HH11" t="e">
        <f>AND(#REF!,"AAAAAHn9+9c=")</f>
        <v>#REF!</v>
      </c>
      <c r="HI11" t="e">
        <f>AND(#REF!,"AAAAAHn9+9g=")</f>
        <v>#REF!</v>
      </c>
      <c r="HJ11" t="e">
        <f>AND(#REF!,"AAAAAHn9+9k=")</f>
        <v>#REF!</v>
      </c>
      <c r="HK11" t="e">
        <f>AND(#REF!,"AAAAAHn9+9o=")</f>
        <v>#REF!</v>
      </c>
      <c r="HL11" t="e">
        <f>IF(#REF!,"AAAAAHn9+9s=",0)</f>
        <v>#REF!</v>
      </c>
      <c r="HM11" t="e">
        <f>AND(#REF!,"AAAAAHn9+9w=")</f>
        <v>#REF!</v>
      </c>
      <c r="HN11" t="e">
        <f>AND(#REF!,"AAAAAHn9+90=")</f>
        <v>#REF!</v>
      </c>
      <c r="HO11" t="e">
        <f>AND(#REF!,"AAAAAHn9+94=")</f>
        <v>#REF!</v>
      </c>
      <c r="HP11" t="e">
        <f>AND(#REF!,"AAAAAHn9+98=")</f>
        <v>#REF!</v>
      </c>
      <c r="HQ11" t="e">
        <f>AND(#REF!,"AAAAAHn9++A=")</f>
        <v>#REF!</v>
      </c>
      <c r="HR11" t="e">
        <f>IF(#REF!,"AAAAAHn9++E=",0)</f>
        <v>#REF!</v>
      </c>
      <c r="HS11" t="e">
        <f>AND(#REF!,"AAAAAHn9++I=")</f>
        <v>#REF!</v>
      </c>
      <c r="HT11" t="e">
        <f>AND(#REF!,"AAAAAHn9++M=")</f>
        <v>#REF!</v>
      </c>
      <c r="HU11" t="e">
        <f>AND(#REF!,"AAAAAHn9++Q=")</f>
        <v>#REF!</v>
      </c>
      <c r="HV11" t="e">
        <f>AND(#REF!,"AAAAAHn9++U=")</f>
        <v>#REF!</v>
      </c>
      <c r="HW11" t="e">
        <f>AND(#REF!,"AAAAAHn9++Y=")</f>
        <v>#REF!</v>
      </c>
      <c r="HX11" t="e">
        <f>IF(#REF!,"AAAAAHn9++c=",0)</f>
        <v>#REF!</v>
      </c>
      <c r="HY11" t="e">
        <f>AND(#REF!,"AAAAAHn9++g=")</f>
        <v>#REF!</v>
      </c>
      <c r="HZ11" t="e">
        <f>AND(#REF!,"AAAAAHn9++k=")</f>
        <v>#REF!</v>
      </c>
      <c r="IA11" t="e">
        <f>AND(#REF!,"AAAAAHn9++o=")</f>
        <v>#REF!</v>
      </c>
      <c r="IB11" t="e">
        <f>AND(#REF!,"AAAAAHn9++s=")</f>
        <v>#REF!</v>
      </c>
      <c r="IC11" t="e">
        <f>AND(#REF!,"AAAAAHn9++w=")</f>
        <v>#REF!</v>
      </c>
      <c r="ID11" t="e">
        <f>IF(#REF!,"AAAAAHn9++0=",0)</f>
        <v>#REF!</v>
      </c>
      <c r="IE11" t="e">
        <f>AND(#REF!,"AAAAAHn9++4=")</f>
        <v>#REF!</v>
      </c>
      <c r="IF11" t="e">
        <f>AND(#REF!,"AAAAAHn9++8=")</f>
        <v>#REF!</v>
      </c>
      <c r="IG11" t="e">
        <f>AND(#REF!,"AAAAAHn9+/A=")</f>
        <v>#REF!</v>
      </c>
      <c r="IH11" t="e">
        <f>AND(#REF!,"AAAAAHn9+/E=")</f>
        <v>#REF!</v>
      </c>
      <c r="II11" t="e">
        <f>AND(#REF!,"AAAAAHn9+/I=")</f>
        <v>#REF!</v>
      </c>
      <c r="IJ11" t="e">
        <f>IF(#REF!,"AAAAAHn9+/M=",0)</f>
        <v>#REF!</v>
      </c>
      <c r="IK11" t="e">
        <f>AND(#REF!,"AAAAAHn9+/Q=")</f>
        <v>#REF!</v>
      </c>
      <c r="IL11" t="e">
        <f>AND(#REF!,"AAAAAHn9+/U=")</f>
        <v>#REF!</v>
      </c>
      <c r="IM11" t="e">
        <f>AND(#REF!,"AAAAAHn9+/Y=")</f>
        <v>#REF!</v>
      </c>
      <c r="IN11" t="e">
        <f>AND(#REF!,"AAAAAHn9+/c=")</f>
        <v>#REF!</v>
      </c>
      <c r="IO11" t="e">
        <f>AND(#REF!,"AAAAAHn9+/g=")</f>
        <v>#REF!</v>
      </c>
      <c r="IP11" t="e">
        <f>IF(#REF!,"AAAAAHn9+/k=",0)</f>
        <v>#REF!</v>
      </c>
      <c r="IQ11" t="e">
        <f>AND(#REF!,"AAAAAHn9+/o=")</f>
        <v>#REF!</v>
      </c>
      <c r="IR11" t="e">
        <f>AND(#REF!,"AAAAAHn9+/s=")</f>
        <v>#REF!</v>
      </c>
      <c r="IS11" t="e">
        <f>AND(#REF!,"AAAAAHn9+/w=")</f>
        <v>#REF!</v>
      </c>
      <c r="IT11" t="e">
        <f>AND(#REF!,"AAAAAHn9+/0=")</f>
        <v>#REF!</v>
      </c>
      <c r="IU11" t="e">
        <f>AND(#REF!,"AAAAAHn9+/4=")</f>
        <v>#REF!</v>
      </c>
      <c r="IV11" t="e">
        <f>IF(#REF!,"AAAAAHn9+/8=",0)</f>
        <v>#REF!</v>
      </c>
    </row>
    <row r="12" spans="1:25" ht="12.75">
      <c r="A12" t="e">
        <f>AND(#REF!,"AAAAAG+5twA=")</f>
        <v>#REF!</v>
      </c>
      <c r="B12" t="e">
        <f>AND(#REF!,"AAAAAG+5twE=")</f>
        <v>#REF!</v>
      </c>
      <c r="C12" t="e">
        <f>AND(#REF!,"AAAAAG+5twI=")</f>
        <v>#REF!</v>
      </c>
      <c r="D12" t="e">
        <f>AND(#REF!,"AAAAAG+5twM=")</f>
        <v>#REF!</v>
      </c>
      <c r="E12" t="e">
        <f>AND(#REF!,"AAAAAG+5twQ=")</f>
        <v>#REF!</v>
      </c>
      <c r="F12" t="e">
        <f>IF(#REF!,"AAAAAG+5twU=",0)</f>
        <v>#REF!</v>
      </c>
      <c r="G12" t="e">
        <f>AND(#REF!,"AAAAAG+5twY=")</f>
        <v>#REF!</v>
      </c>
      <c r="H12" t="e">
        <f>AND(#REF!,"AAAAAG+5twc=")</f>
        <v>#REF!</v>
      </c>
      <c r="I12" t="e">
        <f>AND(#REF!,"AAAAAG+5twg=")</f>
        <v>#REF!</v>
      </c>
      <c r="J12" t="e">
        <f>AND(#REF!,"AAAAAG+5twk=")</f>
        <v>#REF!</v>
      </c>
      <c r="K12" t="e">
        <f>AND(#REF!,"AAAAAG+5two=")</f>
        <v>#REF!</v>
      </c>
      <c r="L12" t="e">
        <f>IF(#REF!,"AAAAAG+5tws=",0)</f>
        <v>#REF!</v>
      </c>
      <c r="M12" t="e">
        <f>AND(#REF!,"AAAAAG+5tww=")</f>
        <v>#REF!</v>
      </c>
      <c r="N12" t="e">
        <f>AND(#REF!,"AAAAAG+5tw0=")</f>
        <v>#REF!</v>
      </c>
      <c r="O12" t="e">
        <f>AND(#REF!,"AAAAAG+5tw4=")</f>
        <v>#REF!</v>
      </c>
      <c r="P12" t="e">
        <f>AND(#REF!,"AAAAAG+5tw8=")</f>
        <v>#REF!</v>
      </c>
      <c r="Q12" t="e">
        <f>AND(#REF!,"AAAAAG+5txA=")</f>
        <v>#REF!</v>
      </c>
      <c r="R12" t="e">
        <f>IF(#REF!,"AAAAAG+5txE=",0)</f>
        <v>#REF!</v>
      </c>
      <c r="S12" t="e">
        <f>IF(#REF!,"AAAAAG+5txI=",0)</f>
        <v>#REF!</v>
      </c>
      <c r="T12" t="e">
        <f>IF(#REF!,"AAAAAG+5txM=",0)</f>
        <v>#REF!</v>
      </c>
      <c r="U12" t="e">
        <f>IF(#REF!,"AAAAAG+5txQ=",0)</f>
        <v>#REF!</v>
      </c>
      <c r="V12" t="e">
        <f>IF(#REF!,"AAAAAG+5txU=",0)</f>
        <v>#REF!</v>
      </c>
      <c r="W12" s="1" t="s">
        <v>1</v>
      </c>
      <c r="X12" t="e">
        <f>IF("N",[0]!_FILTERDATABASE,"AAAAAG+5txc=")</f>
        <v>#VALUE!</v>
      </c>
      <c r="Y12" t="e">
        <f>IF("N",[0]!_FILTERDATABASE,"AAAAAG+5txg=")</f>
        <v>#VALUE!</v>
      </c>
    </row>
    <row r="13" spans="1:169" ht="12.75">
      <c r="A13" t="e">
        <f>AND(#REF!,"AAAAABc/vwA=")</f>
        <v>#REF!</v>
      </c>
      <c r="B13" t="e">
        <f>AND(#REF!,"AAAAABc/vwE=")</f>
        <v>#REF!</v>
      </c>
      <c r="C13" t="e">
        <f>AND(#REF!,"AAAAABc/vwI=")</f>
        <v>#REF!</v>
      </c>
      <c r="D13" t="e">
        <f>AND(#REF!,"AAAAABc/vwM=")</f>
        <v>#REF!</v>
      </c>
      <c r="E13" t="e">
        <f>AND(#REF!,"AAAAABc/vwQ=")</f>
        <v>#REF!</v>
      </c>
      <c r="F13" t="e">
        <f>AND(#REF!,"AAAAABc/vwU=")</f>
        <v>#REF!</v>
      </c>
      <c r="G13" t="e">
        <f>AND(#REF!,"AAAAABc/vwY=")</f>
        <v>#REF!</v>
      </c>
      <c r="H13" t="e">
        <f>AND(#REF!,"AAAAABc/vwc=")</f>
        <v>#REF!</v>
      </c>
      <c r="I13" t="e">
        <f>AND(#REF!,"AAAAABc/vwg=")</f>
        <v>#REF!</v>
      </c>
      <c r="J13" t="e">
        <f>AND(#REF!,"AAAAABc/vwk=")</f>
        <v>#REF!</v>
      </c>
      <c r="K13" t="e">
        <f>AND(#REF!,"AAAAABc/vwo=")</f>
        <v>#REF!</v>
      </c>
      <c r="L13" t="e">
        <f>AND(#REF!,"AAAAABc/vws=")</f>
        <v>#REF!</v>
      </c>
      <c r="M13" t="e">
        <f>IF(#REF!,"AAAAABc/vww=",0)</f>
        <v>#REF!</v>
      </c>
      <c r="N13" t="e">
        <f>AND(#REF!,"AAAAABc/vw0=")</f>
        <v>#REF!</v>
      </c>
      <c r="O13" t="e">
        <f>AND(#REF!,"AAAAABc/vw4=")</f>
        <v>#REF!</v>
      </c>
      <c r="P13" t="e">
        <f>AND(#REF!,"AAAAABc/vw8=")</f>
        <v>#REF!</v>
      </c>
      <c r="Q13" t="e">
        <f>AND(#REF!,"AAAAABc/vxA=")</f>
        <v>#REF!</v>
      </c>
      <c r="R13" t="e">
        <f>AND(#REF!,"AAAAABc/vxE=")</f>
        <v>#REF!</v>
      </c>
      <c r="S13" t="e">
        <f>AND(#REF!,"AAAAABc/vxI=")</f>
        <v>#REF!</v>
      </c>
      <c r="T13" t="e">
        <f>AND(#REF!,"AAAAABc/vxM=")</f>
        <v>#REF!</v>
      </c>
      <c r="U13" t="e">
        <f>AND(#REF!,"AAAAABc/vxQ=")</f>
        <v>#REF!</v>
      </c>
      <c r="V13" t="e">
        <f>AND(#REF!,"AAAAABc/vxU=")</f>
        <v>#REF!</v>
      </c>
      <c r="W13" t="e">
        <f>AND(#REF!,"AAAAABc/vxY=")</f>
        <v>#REF!</v>
      </c>
      <c r="X13" t="e">
        <f>AND(#REF!,"AAAAABc/vxc=")</f>
        <v>#REF!</v>
      </c>
      <c r="Y13" t="e">
        <f>AND(#REF!,"AAAAABc/vxg=")</f>
        <v>#REF!</v>
      </c>
      <c r="Z13" t="e">
        <f>AND(#REF!,"AAAAABc/vxk=")</f>
        <v>#REF!</v>
      </c>
      <c r="AA13" t="e">
        <f>AND(#REF!,"AAAAABc/vxo=")</f>
        <v>#REF!</v>
      </c>
      <c r="AB13" t="e">
        <f>AND(#REF!,"AAAAABc/vxs=")</f>
        <v>#REF!</v>
      </c>
      <c r="AC13" t="e">
        <f>AND(#REF!,"AAAAABc/vxw=")</f>
        <v>#REF!</v>
      </c>
      <c r="AD13" t="e">
        <f>AND(#REF!,"AAAAABc/vx0=")</f>
        <v>#REF!</v>
      </c>
      <c r="AE13" t="e">
        <f>AND(#REF!,"AAAAABc/vx4=")</f>
        <v>#REF!</v>
      </c>
      <c r="AF13" t="e">
        <f>AND(#REF!,"AAAAABc/vx8=")</f>
        <v>#REF!</v>
      </c>
      <c r="AG13" t="e">
        <f>AND(#REF!,"AAAAABc/vyA=")</f>
        <v>#REF!</v>
      </c>
      <c r="AH13" t="e">
        <f>AND(#REF!,"AAAAABc/vyE=")</f>
        <v>#REF!</v>
      </c>
      <c r="AI13" t="e">
        <f>AND(#REF!,"AAAAABc/vyI=")</f>
        <v>#REF!</v>
      </c>
      <c r="AJ13" t="e">
        <f>AND(#REF!,"AAAAABc/vyM=")</f>
        <v>#REF!</v>
      </c>
      <c r="AK13" t="e">
        <f>AND(#REF!,"AAAAABc/vyQ=")</f>
        <v>#REF!</v>
      </c>
      <c r="AL13" t="e">
        <f>AND(#REF!,"AAAAABc/vyU=")</f>
        <v>#REF!</v>
      </c>
      <c r="AM13" t="e">
        <f>AND(#REF!,"AAAAABc/vyY=")</f>
        <v>#REF!</v>
      </c>
      <c r="AN13" t="e">
        <f>AND(#REF!,"AAAAABc/vyc=")</f>
        <v>#REF!</v>
      </c>
      <c r="AO13" t="e">
        <f>AND(#REF!,"AAAAABc/vyg=")</f>
        <v>#REF!</v>
      </c>
      <c r="AP13" t="e">
        <f>AND(#REF!,"AAAAABc/vyk=")</f>
        <v>#REF!</v>
      </c>
      <c r="AQ13" t="e">
        <f>AND(#REF!,"AAAAABc/vyo=")</f>
        <v>#REF!</v>
      </c>
      <c r="AR13" t="e">
        <f>AND(#REF!,"AAAAABc/vys=")</f>
        <v>#REF!</v>
      </c>
      <c r="AS13" t="e">
        <f>AND(#REF!,"AAAAABc/vyw=")</f>
        <v>#REF!</v>
      </c>
      <c r="AT13" t="e">
        <f>AND(#REF!,"AAAAABc/vy0=")</f>
        <v>#REF!</v>
      </c>
      <c r="AU13" t="e">
        <f>AND(#REF!,"AAAAABc/vy4=")</f>
        <v>#REF!</v>
      </c>
      <c r="AV13" t="e">
        <f>AND(#REF!,"AAAAABc/vy8=")</f>
        <v>#REF!</v>
      </c>
      <c r="AW13" t="e">
        <f>AND(#REF!,"AAAAABc/vzA=")</f>
        <v>#REF!</v>
      </c>
      <c r="AX13" t="e">
        <f>AND(#REF!,"AAAAABc/vzE=")</f>
        <v>#REF!</v>
      </c>
      <c r="AY13" t="e">
        <f>AND(#REF!,"AAAAABc/vzI=")</f>
        <v>#REF!</v>
      </c>
      <c r="AZ13" t="e">
        <f>AND(#REF!,"AAAAABc/vzM=")</f>
        <v>#REF!</v>
      </c>
      <c r="BA13" t="e">
        <f>AND(#REF!,"AAAAABc/vzQ=")</f>
        <v>#REF!</v>
      </c>
      <c r="BB13" t="e">
        <f>AND(#REF!,"AAAAABc/vzU=")</f>
        <v>#REF!</v>
      </c>
      <c r="BC13" t="e">
        <f>AND(#REF!,"AAAAABc/vzY=")</f>
        <v>#REF!</v>
      </c>
      <c r="BD13" t="e">
        <f>AND(#REF!,"AAAAABc/vzc=")</f>
        <v>#REF!</v>
      </c>
      <c r="BE13" t="e">
        <f>AND(#REF!,"AAAAABc/vzg=")</f>
        <v>#REF!</v>
      </c>
      <c r="BF13" t="e">
        <f>AND(#REF!,"AAAAABc/vzk=")</f>
        <v>#REF!</v>
      </c>
      <c r="BG13" t="e">
        <f>AND(#REF!,"AAAAABc/vzo=")</f>
        <v>#REF!</v>
      </c>
      <c r="BH13" t="e">
        <f>AND(#REF!,"AAAAABc/vzs=")</f>
        <v>#REF!</v>
      </c>
      <c r="BI13" t="e">
        <f>AND(#REF!,"AAAAABc/vzw=")</f>
        <v>#REF!</v>
      </c>
      <c r="BJ13" t="e">
        <f>AND(#REF!,"AAAAABc/vz0=")</f>
        <v>#REF!</v>
      </c>
      <c r="BK13" t="e">
        <f>AND(#REF!,"AAAAABc/vz4=")</f>
        <v>#REF!</v>
      </c>
      <c r="BL13" t="e">
        <f>AND(#REF!,"AAAAABc/vz8=")</f>
        <v>#REF!</v>
      </c>
      <c r="BM13" t="e">
        <f>AND(#REF!,"AAAAABc/v0A=")</f>
        <v>#REF!</v>
      </c>
      <c r="BN13" t="e">
        <f>AND(#REF!,"AAAAABc/v0E=")</f>
        <v>#REF!</v>
      </c>
      <c r="BO13" t="e">
        <f>AND(#REF!,"AAAAABc/v0I=")</f>
        <v>#REF!</v>
      </c>
      <c r="BP13" t="e">
        <f>AND(#REF!,"AAAAABc/v0M=")</f>
        <v>#REF!</v>
      </c>
      <c r="BQ13" t="e">
        <f>AND(#REF!,"AAAAABc/v0Q=")</f>
        <v>#REF!</v>
      </c>
      <c r="BR13" t="e">
        <f>AND(#REF!,"AAAAABc/v0U=")</f>
        <v>#REF!</v>
      </c>
      <c r="BS13" t="e">
        <f>AND(#REF!,"AAAAABc/v0Y=")</f>
        <v>#REF!</v>
      </c>
      <c r="BT13" t="e">
        <f>AND(#REF!,"AAAAABc/v0c=")</f>
        <v>#REF!</v>
      </c>
      <c r="BU13" t="e">
        <f>AND(#REF!,"AAAAABc/v0g=")</f>
        <v>#REF!</v>
      </c>
      <c r="BV13" t="e">
        <f>AND(#REF!,"AAAAABc/v0k=")</f>
        <v>#REF!</v>
      </c>
      <c r="BW13" t="e">
        <f>AND(#REF!,"AAAAABc/v0o=")</f>
        <v>#REF!</v>
      </c>
      <c r="BX13" t="e">
        <f>AND(#REF!,"AAAAABc/v0s=")</f>
        <v>#REF!</v>
      </c>
      <c r="BY13" t="e">
        <f>AND(#REF!,"AAAAABc/v0w=")</f>
        <v>#REF!</v>
      </c>
      <c r="BZ13" t="e">
        <f>AND(#REF!,"AAAAABc/v00=")</f>
        <v>#REF!</v>
      </c>
      <c r="CA13" t="e">
        <f>AND(#REF!,"AAAAABc/v04=")</f>
        <v>#REF!</v>
      </c>
      <c r="CB13" t="e">
        <f>AND(#REF!,"AAAAABc/v08=")</f>
        <v>#REF!</v>
      </c>
      <c r="CC13" t="e">
        <f>AND(#REF!,"AAAAABc/v1A=")</f>
        <v>#REF!</v>
      </c>
      <c r="CD13" t="e">
        <f>AND(#REF!,"AAAAABc/v1E=")</f>
        <v>#REF!</v>
      </c>
      <c r="CE13" t="e">
        <f>AND(#REF!,"AAAAABc/v1I=")</f>
        <v>#REF!</v>
      </c>
      <c r="CF13" t="e">
        <f>AND(#REF!,"AAAAABc/v1M=")</f>
        <v>#REF!</v>
      </c>
      <c r="CG13" t="e">
        <f>AND(#REF!,"AAAAABc/v1Q=")</f>
        <v>#REF!</v>
      </c>
      <c r="CH13" t="e">
        <f>AND(#REF!,"AAAAABc/v1U=")</f>
        <v>#REF!</v>
      </c>
      <c r="CI13" t="e">
        <f>AND(#REF!,"AAAAABc/v1Y=")</f>
        <v>#REF!</v>
      </c>
      <c r="CJ13" t="e">
        <f>AND(#REF!,"AAAAABc/v1c=")</f>
        <v>#REF!</v>
      </c>
      <c r="CK13" t="e">
        <f>AND(#REF!,"AAAAABc/v1g=")</f>
        <v>#REF!</v>
      </c>
      <c r="CL13" t="e">
        <f>AND(#REF!,"AAAAABc/v1k=")</f>
        <v>#REF!</v>
      </c>
      <c r="CM13" t="e">
        <f>AND(#REF!,"AAAAABc/v1o=")</f>
        <v>#REF!</v>
      </c>
      <c r="CN13" t="e">
        <f>AND(#REF!,"AAAAABc/v1s=")</f>
        <v>#REF!</v>
      </c>
      <c r="CO13" t="e">
        <f>AND(#REF!,"AAAAABc/v1w=")</f>
        <v>#REF!</v>
      </c>
      <c r="CP13" t="e">
        <f>AND(#REF!,"AAAAABc/v10=")</f>
        <v>#REF!</v>
      </c>
      <c r="CQ13" t="e">
        <f>AND(#REF!,"AAAAABc/v14=")</f>
        <v>#REF!</v>
      </c>
      <c r="CR13" t="e">
        <f>AND(#REF!,"AAAAABc/v18=")</f>
        <v>#REF!</v>
      </c>
      <c r="CS13" t="e">
        <f>AND(#REF!,"AAAAABc/v2A=")</f>
        <v>#REF!</v>
      </c>
      <c r="CT13" t="e">
        <f>AND(#REF!,"AAAAABc/v2E=")</f>
        <v>#REF!</v>
      </c>
      <c r="CU13" t="e">
        <f>AND(#REF!,"AAAAABc/v2I=")</f>
        <v>#REF!</v>
      </c>
      <c r="CV13" t="e">
        <f>AND(#REF!,"AAAAABc/v2M=")</f>
        <v>#REF!</v>
      </c>
      <c r="CW13" t="e">
        <f>AND(#REF!,"AAAAABc/v2Q=")</f>
        <v>#REF!</v>
      </c>
      <c r="CX13" t="e">
        <f>AND(#REF!,"AAAAABc/v2U=")</f>
        <v>#REF!</v>
      </c>
      <c r="CY13" t="e">
        <f>AND(#REF!,"AAAAABc/v2Y=")</f>
        <v>#REF!</v>
      </c>
      <c r="CZ13" t="e">
        <f>AND(#REF!,"AAAAABc/v2c=")</f>
        <v>#REF!</v>
      </c>
      <c r="DA13" t="e">
        <f>AND(#REF!,"AAAAABc/v2g=")</f>
        <v>#REF!</v>
      </c>
      <c r="DB13" t="e">
        <f>AND(#REF!,"AAAAABc/v2k=")</f>
        <v>#REF!</v>
      </c>
      <c r="DC13" t="e">
        <f>AND(#REF!,"AAAAABc/v2o=")</f>
        <v>#REF!</v>
      </c>
      <c r="DD13" t="e">
        <f>AND(#REF!,"AAAAABc/v2s=")</f>
        <v>#REF!</v>
      </c>
      <c r="DE13" t="e">
        <f>AND(#REF!,"AAAAABc/v2w=")</f>
        <v>#REF!</v>
      </c>
      <c r="DF13" t="e">
        <f>AND(#REF!,"AAAAABc/v20=")</f>
        <v>#REF!</v>
      </c>
      <c r="DG13" t="e">
        <f>AND(#REF!,"AAAAABc/v24=")</f>
        <v>#REF!</v>
      </c>
      <c r="DH13" t="e">
        <f>AND(#REF!,"AAAAABc/v28=")</f>
        <v>#REF!</v>
      </c>
      <c r="DI13" t="e">
        <f>AND(#REF!,"AAAAABc/v3A=")</f>
        <v>#REF!</v>
      </c>
      <c r="DJ13" t="e">
        <f>AND(#REF!,"AAAAABc/v3E=")</f>
        <v>#REF!</v>
      </c>
      <c r="DK13" t="e">
        <f>AND(#REF!,"AAAAABc/v3I=")</f>
        <v>#REF!</v>
      </c>
      <c r="DL13" t="e">
        <f>AND(#REF!,"AAAAABc/v3M=")</f>
        <v>#REF!</v>
      </c>
      <c r="DM13" t="e">
        <f>AND(#REF!,"AAAAABc/v3Q=")</f>
        <v>#REF!</v>
      </c>
      <c r="DN13" t="e">
        <f>AND(#REF!,"AAAAABc/v3U=")</f>
        <v>#REF!</v>
      </c>
      <c r="DO13" t="e">
        <f>AND(#REF!,"AAAAABc/v3Y=")</f>
        <v>#REF!</v>
      </c>
      <c r="DP13" t="e">
        <f>AND(#REF!,"AAAAABc/v3c=")</f>
        <v>#REF!</v>
      </c>
      <c r="DQ13" t="e">
        <f>AND(#REF!,"AAAAABc/v3g=")</f>
        <v>#REF!</v>
      </c>
      <c r="DR13" t="e">
        <f>AND(#REF!,"AAAAABc/v3k=")</f>
        <v>#REF!</v>
      </c>
      <c r="DS13" t="e">
        <f>AND(#REF!,"AAAAABc/v3o=")</f>
        <v>#REF!</v>
      </c>
      <c r="DT13" t="e">
        <f>AND(#REF!,"AAAAABc/v3s=")</f>
        <v>#REF!</v>
      </c>
      <c r="DU13" t="e">
        <f>AND(#REF!,"AAAAABc/v3w=")</f>
        <v>#REF!</v>
      </c>
      <c r="DV13" t="e">
        <f>AND(#REF!,"AAAAABc/v30=")</f>
        <v>#REF!</v>
      </c>
      <c r="DW13" t="e">
        <f>AND(#REF!,"AAAAABc/v34=")</f>
        <v>#REF!</v>
      </c>
      <c r="DX13" t="e">
        <f>AND(#REF!,"AAAAABc/v38=")</f>
        <v>#REF!</v>
      </c>
      <c r="DY13" t="e">
        <f>AND(#REF!,"AAAAABc/v4A=")</f>
        <v>#REF!</v>
      </c>
      <c r="DZ13" t="e">
        <f>AND(#REF!,"AAAAABc/v4E=")</f>
        <v>#REF!</v>
      </c>
      <c r="EA13" t="e">
        <f>AND(#REF!,"AAAAABc/v4I=")</f>
        <v>#REF!</v>
      </c>
      <c r="EB13" t="e">
        <f>AND(#REF!,"AAAAABc/v4M=")</f>
        <v>#REF!</v>
      </c>
      <c r="EC13" t="e">
        <f>AND(#REF!,"AAAAABc/v4Q=")</f>
        <v>#REF!</v>
      </c>
      <c r="ED13" t="e">
        <f>AND(#REF!,"AAAAABc/v4U=")</f>
        <v>#REF!</v>
      </c>
      <c r="EE13" t="e">
        <f>AND(#REF!,"AAAAABc/v4Y=")</f>
        <v>#REF!</v>
      </c>
      <c r="EF13" t="e">
        <f>AND(#REF!,"AAAAABc/v4c=")</f>
        <v>#REF!</v>
      </c>
      <c r="EG13" t="e">
        <f>AND(#REF!,"AAAAABc/v4g=")</f>
        <v>#REF!</v>
      </c>
      <c r="EH13" t="e">
        <f>AND(#REF!,"AAAAABc/v4k=")</f>
        <v>#REF!</v>
      </c>
      <c r="EI13" t="e">
        <f>AND(#REF!,"AAAAABc/v4o=")</f>
        <v>#REF!</v>
      </c>
      <c r="EJ13" t="e">
        <f>AND(#REF!,"AAAAABc/v4s=")</f>
        <v>#REF!</v>
      </c>
      <c r="EK13" t="e">
        <f>AND(#REF!,"AAAAABc/v4w=")</f>
        <v>#REF!</v>
      </c>
      <c r="EL13" t="e">
        <f>AND(#REF!,"AAAAABc/v40=")</f>
        <v>#REF!</v>
      </c>
      <c r="EM13" t="e">
        <f>AND(#REF!,"AAAAABc/v44=")</f>
        <v>#REF!</v>
      </c>
      <c r="EN13" t="e">
        <f>AND(#REF!,"AAAAABc/v48=")</f>
        <v>#REF!</v>
      </c>
      <c r="EO13" t="e">
        <f>AND(#REF!,"AAAAABc/v5A=")</f>
        <v>#REF!</v>
      </c>
      <c r="EP13" t="e">
        <f>AND(#REF!,"AAAAABc/v5E=")</f>
        <v>#REF!</v>
      </c>
      <c r="EQ13" t="e">
        <f>AND(#REF!,"AAAAABc/v5I=")</f>
        <v>#REF!</v>
      </c>
      <c r="ER13" t="e">
        <f>AND(#REF!,"AAAAABc/v5M=")</f>
        <v>#REF!</v>
      </c>
      <c r="ES13" t="e">
        <f>AND(#REF!,"AAAAABc/v5Q=")</f>
        <v>#REF!</v>
      </c>
      <c r="ET13" t="e">
        <f>AND(#REF!,"AAAAABc/v5U=")</f>
        <v>#REF!</v>
      </c>
      <c r="EU13" t="e">
        <f>AND(#REF!,"AAAAABc/v5Y=")</f>
        <v>#REF!</v>
      </c>
      <c r="EV13" t="e">
        <f>AND(#REF!,"AAAAABc/v5c=")</f>
        <v>#REF!</v>
      </c>
      <c r="EW13" t="e">
        <f>AND(#REF!,"AAAAABc/v5g=")</f>
        <v>#REF!</v>
      </c>
      <c r="EX13" t="e">
        <f>AND(#REF!,"AAAAABc/v5k=")</f>
        <v>#REF!</v>
      </c>
      <c r="EY13" t="e">
        <f>AND(#REF!,"AAAAABc/v5o=")</f>
        <v>#REF!</v>
      </c>
      <c r="EZ13" t="e">
        <f>AND(#REF!,"AAAAABc/v5s=")</f>
        <v>#REF!</v>
      </c>
      <c r="FA13" t="e">
        <f>AND(#REF!,"AAAAABc/v5w=")</f>
        <v>#REF!</v>
      </c>
      <c r="FB13" t="e">
        <f>AND(#REF!,"AAAAABc/v50=")</f>
        <v>#REF!</v>
      </c>
      <c r="FC13" t="e">
        <f>AND(#REF!,"AAAAABc/v54=")</f>
        <v>#REF!</v>
      </c>
      <c r="FD13" t="e">
        <f>AND(#REF!,"AAAAABc/v58=")</f>
        <v>#REF!</v>
      </c>
      <c r="FE13" t="e">
        <f>AND(#REF!,"AAAAABc/v6A=")</f>
        <v>#REF!</v>
      </c>
      <c r="FF13" t="e">
        <f>AND(#REF!,"AAAAABc/v6E=")</f>
        <v>#REF!</v>
      </c>
      <c r="FG13" t="e">
        <f>AND(#REF!,"AAAAABc/v6I=")</f>
        <v>#REF!</v>
      </c>
      <c r="FH13" t="e">
        <f>AND(#REF!,"AAAAABc/v6M=")</f>
        <v>#REF!</v>
      </c>
      <c r="FI13" t="e">
        <f>AND(#REF!,"AAAAABc/v6Q=")</f>
        <v>#REF!</v>
      </c>
      <c r="FJ13" t="e">
        <f>AND(#REF!,"AAAAABc/v6U=")</f>
        <v>#REF!</v>
      </c>
      <c r="FK13" t="e">
        <f>AND(#REF!,"AAAAABc/v6Y=")</f>
        <v>#REF!</v>
      </c>
      <c r="FL13" t="e">
        <f>AND(#REF!,"AAAAABc/v6c=")</f>
        <v>#REF!</v>
      </c>
      <c r="FM13" t="e">
        <f>AND(#REF!,"AAAAABc/v6g=")</f>
        <v>#REF!</v>
      </c>
    </row>
  </sheetData>
  <sheetProtection/>
  <printOptions/>
  <pageMargins left="0.75" right="0.75" top="1" bottom="1" header="0.5" footer="0.5"/>
  <pageSetup orientation="portrait" paperSize="9"/>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PGD</dc:creator>
  <cp:keywords/>
  <dc:description/>
  <cp:lastModifiedBy>Acer</cp:lastModifiedBy>
  <cp:lastPrinted>2024-04-23T04:02:44Z</cp:lastPrinted>
  <dcterms:created xsi:type="dcterms:W3CDTF">2008-03-13T00:07:42Z</dcterms:created>
  <dcterms:modified xsi:type="dcterms:W3CDTF">2024-04-24T02:04:05Z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1ZSLYYmCLEw8-6qzOOViVT1q0pY7de_sOegoKk32JvEM</vt:lpwstr>
  </property>
  <property fmtid="{D5CDD505-2E9C-101B-9397-08002B2CF9AE}" pid="4" name="Google.Documents.RevisionId">
    <vt:lpwstr>00938804105777258200</vt:lpwstr>
  </property>
  <property fmtid="{D5CDD505-2E9C-101B-9397-08002B2CF9AE}" pid="5" name="Google.Documents.PreviousRevisionId">
    <vt:lpwstr>11354260993543295906</vt:lpwstr>
  </property>
  <property fmtid="{D5CDD505-2E9C-101B-9397-08002B2CF9AE}" pid="6" name="Google.Documents.PluginVersion">
    <vt:lpwstr>2.0.2026.3768</vt:lpwstr>
  </property>
  <property fmtid="{D5CDD505-2E9C-101B-9397-08002B2CF9AE}" pid="7" name="Google.Documents.MergeIncapabilityFlags">
    <vt:i4>0</vt:i4>
  </property>
</Properties>
</file>